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F-D26L2\Documents\respaldo carla 09 febrero 2021\TRANSPARENCIA FISCAL\2022\ADQUISICIONES\"/>
    </mc:Choice>
  </mc:AlternateContent>
  <bookViews>
    <workbookView xWindow="0" yWindow="0" windowWidth="16380" windowHeight="8190" tabRatio="500"/>
  </bookViews>
  <sheets>
    <sheet name="PAA 2022" sheetId="1" r:id="rId1"/>
  </sheets>
  <definedNames>
    <definedName name="Print_Titles_0" localSheetId="0">'PAA 2022'!$5:$5</definedName>
    <definedName name="Print_Titles_0_0" localSheetId="0">'PAA 2022'!$5:$5</definedName>
    <definedName name="Print_Titles_0_0_0" localSheetId="0">'PAA 2022'!$5:$5</definedName>
    <definedName name="Print_Titles_0_0_0_0" localSheetId="0">'PAA 2022'!$5:$5</definedName>
    <definedName name="Print_Titles_0_0_0_0_0" localSheetId="0">'PAA 2022'!$5:$5</definedName>
    <definedName name="Print_Titles_0_0_0_0_0_0" localSheetId="0">'PAA 2022'!$5:$5</definedName>
    <definedName name="_xlnm.Print_Titles" localSheetId="0">'PAA 2022'!$5:$5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3" i="1" l="1"/>
  <c r="D283" i="1"/>
  <c r="AD282" i="1"/>
  <c r="AD279" i="1" s="1"/>
  <c r="AB282" i="1"/>
  <c r="Z282" i="1"/>
  <c r="X282" i="1"/>
  <c r="V282" i="1"/>
  <c r="T282" i="1"/>
  <c r="R282" i="1"/>
  <c r="P282" i="1"/>
  <c r="N282" i="1"/>
  <c r="L282" i="1"/>
  <c r="J282" i="1"/>
  <c r="H282" i="1"/>
  <c r="F282" i="1"/>
  <c r="F281" i="1"/>
  <c r="D281" i="1"/>
  <c r="AD280" i="1"/>
  <c r="AB280" i="1"/>
  <c r="AB279" i="1" s="1"/>
  <c r="Z280" i="1"/>
  <c r="X280" i="1"/>
  <c r="V280" i="1"/>
  <c r="T280" i="1"/>
  <c r="T279" i="1" s="1"/>
  <c r="R280" i="1"/>
  <c r="P280" i="1"/>
  <c r="N280" i="1"/>
  <c r="L280" i="1"/>
  <c r="L279" i="1" s="1"/>
  <c r="J280" i="1"/>
  <c r="H280" i="1"/>
  <c r="F280" i="1" s="1"/>
  <c r="F279" i="1" s="1"/>
  <c r="Z279" i="1"/>
  <c r="X279" i="1"/>
  <c r="V279" i="1"/>
  <c r="R279" i="1"/>
  <c r="P279" i="1"/>
  <c r="N279" i="1"/>
  <c r="J279" i="1"/>
  <c r="H279" i="1"/>
  <c r="AD278" i="1"/>
  <c r="AB278" i="1"/>
  <c r="Z278" i="1"/>
  <c r="X278" i="1"/>
  <c r="V278" i="1"/>
  <c r="T278" i="1"/>
  <c r="R278" i="1"/>
  <c r="P278" i="1"/>
  <c r="N278" i="1"/>
  <c r="L278" i="1"/>
  <c r="J278" i="1"/>
  <c r="H278" i="1"/>
  <c r="F278" i="1" s="1"/>
  <c r="D278" i="1"/>
  <c r="AD277" i="1"/>
  <c r="AB277" i="1"/>
  <c r="Z277" i="1"/>
  <c r="X277" i="1"/>
  <c r="V277" i="1"/>
  <c r="T277" i="1"/>
  <c r="R277" i="1"/>
  <c r="P277" i="1"/>
  <c r="N277" i="1"/>
  <c r="L277" i="1"/>
  <c r="J277" i="1"/>
  <c r="F277" i="1" s="1"/>
  <c r="H277" i="1"/>
  <c r="D277" i="1"/>
  <c r="AD276" i="1"/>
  <c r="AB276" i="1"/>
  <c r="Z276" i="1"/>
  <c r="X276" i="1"/>
  <c r="V276" i="1"/>
  <c r="T276" i="1"/>
  <c r="R276" i="1"/>
  <c r="P276" i="1"/>
  <c r="N276" i="1"/>
  <c r="L276" i="1"/>
  <c r="J276" i="1"/>
  <c r="H276" i="1"/>
  <c r="F276" i="1" s="1"/>
  <c r="F272" i="1" s="1"/>
  <c r="D276" i="1"/>
  <c r="F275" i="1"/>
  <c r="D275" i="1"/>
  <c r="F274" i="1"/>
  <c r="D274" i="1"/>
  <c r="F273" i="1"/>
  <c r="D273" i="1"/>
  <c r="AD272" i="1"/>
  <c r="AB272" i="1"/>
  <c r="Z272" i="1"/>
  <c r="X272" i="1"/>
  <c r="X256" i="1" s="1"/>
  <c r="V272" i="1"/>
  <c r="T272" i="1"/>
  <c r="R272" i="1"/>
  <c r="P272" i="1"/>
  <c r="N272" i="1"/>
  <c r="L272" i="1"/>
  <c r="J272" i="1"/>
  <c r="H272" i="1"/>
  <c r="AD271" i="1"/>
  <c r="AB271" i="1"/>
  <c r="Z271" i="1"/>
  <c r="Z266" i="1" s="1"/>
  <c r="X271" i="1"/>
  <c r="V271" i="1"/>
  <c r="T271" i="1"/>
  <c r="R271" i="1"/>
  <c r="R266" i="1" s="1"/>
  <c r="P271" i="1"/>
  <c r="N271" i="1"/>
  <c r="L271" i="1"/>
  <c r="J271" i="1"/>
  <c r="J266" i="1" s="1"/>
  <c r="H271" i="1"/>
  <c r="F271" i="1" s="1"/>
  <c r="D271" i="1"/>
  <c r="L270" i="1"/>
  <c r="D270" i="1"/>
  <c r="L269" i="1"/>
  <c r="F269" i="1"/>
  <c r="D269" i="1"/>
  <c r="L268" i="1"/>
  <c r="F268" i="1"/>
  <c r="D268" i="1"/>
  <c r="L267" i="1"/>
  <c r="F267" i="1" s="1"/>
  <c r="D267" i="1"/>
  <c r="AD266" i="1"/>
  <c r="AB266" i="1"/>
  <c r="X266" i="1"/>
  <c r="V266" i="1"/>
  <c r="T266" i="1"/>
  <c r="P266" i="1"/>
  <c r="N266" i="1"/>
  <c r="H266" i="1"/>
  <c r="L265" i="1"/>
  <c r="J265" i="1"/>
  <c r="F265" i="1"/>
  <c r="D265" i="1"/>
  <c r="J264" i="1"/>
  <c r="F264" i="1"/>
  <c r="D264" i="1"/>
  <c r="P263" i="1"/>
  <c r="F263" i="1" s="1"/>
  <c r="J263" i="1"/>
  <c r="D263" i="1"/>
  <c r="P262" i="1"/>
  <c r="F262" i="1" s="1"/>
  <c r="J262" i="1"/>
  <c r="D262" i="1"/>
  <c r="P261" i="1"/>
  <c r="F261" i="1" s="1"/>
  <c r="J261" i="1"/>
  <c r="D261" i="1"/>
  <c r="R260" i="1"/>
  <c r="R257" i="1" s="1"/>
  <c r="R256" i="1" s="1"/>
  <c r="R255" i="1" s="1"/>
  <c r="P260" i="1"/>
  <c r="L260" i="1"/>
  <c r="J260" i="1"/>
  <c r="H260" i="1"/>
  <c r="D260" i="1"/>
  <c r="P259" i="1"/>
  <c r="J259" i="1"/>
  <c r="F259" i="1" s="1"/>
  <c r="D259" i="1"/>
  <c r="P258" i="1"/>
  <c r="J258" i="1"/>
  <c r="D258" i="1"/>
  <c r="AD257" i="1"/>
  <c r="AB257" i="1"/>
  <c r="AB256" i="1" s="1"/>
  <c r="AB255" i="1" s="1"/>
  <c r="Z257" i="1"/>
  <c r="X257" i="1"/>
  <c r="V257" i="1"/>
  <c r="T257" i="1"/>
  <c r="T256" i="1" s="1"/>
  <c r="T255" i="1" s="1"/>
  <c r="N257" i="1"/>
  <c r="L257" i="1"/>
  <c r="L256" i="1" s="1"/>
  <c r="L255" i="1" s="1"/>
  <c r="AD256" i="1"/>
  <c r="AD255" i="1" s="1"/>
  <c r="Z256" i="1"/>
  <c r="V256" i="1"/>
  <c r="N256" i="1"/>
  <c r="N255" i="1" s="1"/>
  <c r="Z255" i="1"/>
  <c r="X255" i="1"/>
  <c r="F254" i="1"/>
  <c r="D254" i="1"/>
  <c r="AD253" i="1"/>
  <c r="AB253" i="1"/>
  <c r="Z253" i="1"/>
  <c r="X253" i="1"/>
  <c r="V253" i="1"/>
  <c r="T253" i="1"/>
  <c r="R253" i="1"/>
  <c r="P253" i="1"/>
  <c r="N253" i="1"/>
  <c r="L253" i="1"/>
  <c r="J253" i="1"/>
  <c r="H253" i="1"/>
  <c r="F253" i="1"/>
  <c r="T252" i="1"/>
  <c r="F252" i="1"/>
  <c r="D252" i="1"/>
  <c r="AB251" i="1"/>
  <c r="Z251" i="1"/>
  <c r="X251" i="1"/>
  <c r="V251" i="1"/>
  <c r="T251" i="1"/>
  <c r="R251" i="1"/>
  <c r="P251" i="1"/>
  <c r="N251" i="1"/>
  <c r="L251" i="1"/>
  <c r="J251" i="1"/>
  <c r="H251" i="1"/>
  <c r="F251" i="1"/>
  <c r="N250" i="1"/>
  <c r="L250" i="1"/>
  <c r="H250" i="1"/>
  <c r="D250" i="1"/>
  <c r="N249" i="1"/>
  <c r="J249" i="1"/>
  <c r="H249" i="1"/>
  <c r="F249" i="1"/>
  <c r="D249" i="1"/>
  <c r="J248" i="1"/>
  <c r="F248" i="1"/>
  <c r="D248" i="1"/>
  <c r="AD247" i="1"/>
  <c r="AB247" i="1"/>
  <c r="Z247" i="1"/>
  <c r="X247" i="1"/>
  <c r="V247" i="1"/>
  <c r="T247" i="1"/>
  <c r="R247" i="1"/>
  <c r="P247" i="1"/>
  <c r="L247" i="1"/>
  <c r="J247" i="1"/>
  <c r="H247" i="1"/>
  <c r="F246" i="1"/>
  <c r="D246" i="1"/>
  <c r="AD245" i="1"/>
  <c r="AD240" i="1" s="1"/>
  <c r="AB245" i="1"/>
  <c r="Z245" i="1"/>
  <c r="X245" i="1"/>
  <c r="V245" i="1"/>
  <c r="T245" i="1"/>
  <c r="R245" i="1"/>
  <c r="P245" i="1"/>
  <c r="P240" i="1" s="1"/>
  <c r="N245" i="1"/>
  <c r="L245" i="1"/>
  <c r="J245" i="1"/>
  <c r="H245" i="1"/>
  <c r="H240" i="1" s="1"/>
  <c r="F245" i="1"/>
  <c r="AB244" i="1"/>
  <c r="Z244" i="1"/>
  <c r="Z243" i="1" s="1"/>
  <c r="X244" i="1"/>
  <c r="X243" i="1" s="1"/>
  <c r="X240" i="1" s="1"/>
  <c r="V244" i="1"/>
  <c r="V243" i="1" s="1"/>
  <c r="V240" i="1" s="1"/>
  <c r="P244" i="1"/>
  <c r="N244" i="1"/>
  <c r="L244" i="1"/>
  <c r="J244" i="1"/>
  <c r="D244" i="1"/>
  <c r="AD243" i="1"/>
  <c r="AB243" i="1"/>
  <c r="T243" i="1"/>
  <c r="T240" i="1" s="1"/>
  <c r="R243" i="1"/>
  <c r="P243" i="1"/>
  <c r="N243" i="1"/>
  <c r="L243" i="1"/>
  <c r="L240" i="1" s="1"/>
  <c r="H243" i="1"/>
  <c r="F242" i="1"/>
  <c r="F241" i="1" s="1"/>
  <c r="D242" i="1"/>
  <c r="AD241" i="1"/>
  <c r="AB241" i="1"/>
  <c r="Z241" i="1"/>
  <c r="Z240" i="1" s="1"/>
  <c r="X241" i="1"/>
  <c r="V241" i="1"/>
  <c r="T241" i="1"/>
  <c r="R241" i="1"/>
  <c r="R240" i="1" s="1"/>
  <c r="P241" i="1"/>
  <c r="N241" i="1"/>
  <c r="L241" i="1"/>
  <c r="J241" i="1"/>
  <c r="H241" i="1"/>
  <c r="AB240" i="1"/>
  <c r="F239" i="1"/>
  <c r="F238" i="1" s="1"/>
  <c r="D239" i="1"/>
  <c r="AD238" i="1"/>
  <c r="AB238" i="1"/>
  <c r="AB233" i="1" s="1"/>
  <c r="Z238" i="1"/>
  <c r="Z233" i="1" s="1"/>
  <c r="X238" i="1"/>
  <c r="V238" i="1"/>
  <c r="T238" i="1"/>
  <c r="T233" i="1" s="1"/>
  <c r="R238" i="1"/>
  <c r="R233" i="1" s="1"/>
  <c r="P238" i="1"/>
  <c r="N238" i="1"/>
  <c r="L238" i="1"/>
  <c r="L233" i="1" s="1"/>
  <c r="J238" i="1"/>
  <c r="J233" i="1" s="1"/>
  <c r="H238" i="1"/>
  <c r="F237" i="1"/>
  <c r="F236" i="1" s="1"/>
  <c r="D237" i="1"/>
  <c r="AD236" i="1"/>
  <c r="AB236" i="1"/>
  <c r="Z236" i="1"/>
  <c r="X236" i="1"/>
  <c r="V236" i="1"/>
  <c r="T236" i="1"/>
  <c r="R236" i="1"/>
  <c r="P236" i="1"/>
  <c r="N236" i="1"/>
  <c r="L236" i="1"/>
  <c r="J236" i="1"/>
  <c r="H236" i="1"/>
  <c r="F235" i="1"/>
  <c r="D235" i="1"/>
  <c r="AD234" i="1"/>
  <c r="AD233" i="1" s="1"/>
  <c r="AB234" i="1"/>
  <c r="Z234" i="1"/>
  <c r="X234" i="1"/>
  <c r="V234" i="1"/>
  <c r="V233" i="1" s="1"/>
  <c r="T234" i="1"/>
  <c r="R234" i="1"/>
  <c r="P234" i="1"/>
  <c r="N234" i="1"/>
  <c r="N233" i="1" s="1"/>
  <c r="L234" i="1"/>
  <c r="J234" i="1"/>
  <c r="H234" i="1"/>
  <c r="F234" i="1"/>
  <c r="X233" i="1"/>
  <c r="P233" i="1"/>
  <c r="H233" i="1"/>
  <c r="H205" i="1" s="1"/>
  <c r="F232" i="1"/>
  <c r="D232" i="1"/>
  <c r="F231" i="1"/>
  <c r="F230" i="1" s="1"/>
  <c r="D231" i="1"/>
  <c r="AD230" i="1"/>
  <c r="AB230" i="1"/>
  <c r="Z230" i="1"/>
  <c r="X230" i="1"/>
  <c r="V230" i="1"/>
  <c r="T230" i="1"/>
  <c r="R230" i="1"/>
  <c r="P230" i="1"/>
  <c r="N230" i="1"/>
  <c r="L230" i="1"/>
  <c r="J230" i="1"/>
  <c r="H230" i="1"/>
  <c r="D230" i="1"/>
  <c r="F229" i="1"/>
  <c r="D229" i="1"/>
  <c r="AD228" i="1"/>
  <c r="AB228" i="1"/>
  <c r="Z228" i="1"/>
  <c r="X228" i="1"/>
  <c r="V228" i="1"/>
  <c r="T228" i="1"/>
  <c r="R228" i="1"/>
  <c r="P228" i="1"/>
  <c r="N228" i="1"/>
  <c r="L228" i="1"/>
  <c r="J228" i="1"/>
  <c r="F228" i="1" s="1"/>
  <c r="H228" i="1"/>
  <c r="D228" i="1"/>
  <c r="F227" i="1"/>
  <c r="D227" i="1"/>
  <c r="AD226" i="1"/>
  <c r="AB226" i="1"/>
  <c r="Z226" i="1"/>
  <c r="X226" i="1"/>
  <c r="V226" i="1"/>
  <c r="T226" i="1"/>
  <c r="R226" i="1"/>
  <c r="P226" i="1"/>
  <c r="N226" i="1"/>
  <c r="L226" i="1"/>
  <c r="J226" i="1"/>
  <c r="F226" i="1" s="1"/>
  <c r="H226" i="1"/>
  <c r="F225" i="1"/>
  <c r="F224" i="1"/>
  <c r="D224" i="1"/>
  <c r="AD223" i="1"/>
  <c r="AB223" i="1"/>
  <c r="Z223" i="1"/>
  <c r="X223" i="1"/>
  <c r="V223" i="1"/>
  <c r="T223" i="1"/>
  <c r="R223" i="1"/>
  <c r="P223" i="1"/>
  <c r="N223" i="1"/>
  <c r="L223" i="1"/>
  <c r="J223" i="1"/>
  <c r="F223" i="1" s="1"/>
  <c r="H223" i="1"/>
  <c r="AD222" i="1"/>
  <c r="AB222" i="1"/>
  <c r="Z222" i="1"/>
  <c r="X222" i="1"/>
  <c r="V222" i="1"/>
  <c r="T222" i="1"/>
  <c r="R222" i="1"/>
  <c r="P222" i="1"/>
  <c r="N222" i="1"/>
  <c r="L222" i="1"/>
  <c r="F222" i="1" s="1"/>
  <c r="J222" i="1"/>
  <c r="D222" i="1"/>
  <c r="AD221" i="1"/>
  <c r="AD218" i="1" s="1"/>
  <c r="AB221" i="1"/>
  <c r="Z221" i="1"/>
  <c r="X221" i="1"/>
  <c r="V221" i="1"/>
  <c r="V218" i="1" s="1"/>
  <c r="T221" i="1"/>
  <c r="R221" i="1"/>
  <c r="P221" i="1"/>
  <c r="N221" i="1"/>
  <c r="L221" i="1"/>
  <c r="J221" i="1"/>
  <c r="D221" i="1"/>
  <c r="AD220" i="1"/>
  <c r="AB220" i="1"/>
  <c r="Z220" i="1"/>
  <c r="X220" i="1"/>
  <c r="X218" i="1" s="1"/>
  <c r="X217" i="1" s="1"/>
  <c r="V220" i="1"/>
  <c r="T220" i="1"/>
  <c r="R220" i="1"/>
  <c r="P220" i="1"/>
  <c r="P218" i="1" s="1"/>
  <c r="P217" i="1" s="1"/>
  <c r="N220" i="1"/>
  <c r="L220" i="1"/>
  <c r="J220" i="1"/>
  <c r="F220" i="1"/>
  <c r="D220" i="1"/>
  <c r="AD219" i="1"/>
  <c r="AB219" i="1"/>
  <c r="Z219" i="1"/>
  <c r="Z218" i="1" s="1"/>
  <c r="X219" i="1"/>
  <c r="V219" i="1"/>
  <c r="T219" i="1"/>
  <c r="R219" i="1"/>
  <c r="R218" i="1" s="1"/>
  <c r="P219" i="1"/>
  <c r="N219" i="1"/>
  <c r="L219" i="1"/>
  <c r="J219" i="1"/>
  <c r="D219" i="1"/>
  <c r="AB218" i="1"/>
  <c r="AB217" i="1" s="1"/>
  <c r="T218" i="1"/>
  <c r="T217" i="1" s="1"/>
  <c r="H218" i="1"/>
  <c r="AD217" i="1"/>
  <c r="V217" i="1"/>
  <c r="H217" i="1"/>
  <c r="F216" i="1"/>
  <c r="D216" i="1"/>
  <c r="AD215" i="1"/>
  <c r="AB215" i="1"/>
  <c r="Z215" i="1"/>
  <c r="X215" i="1"/>
  <c r="V215" i="1"/>
  <c r="T215" i="1"/>
  <c r="R215" i="1"/>
  <c r="P215" i="1"/>
  <c r="N215" i="1"/>
  <c r="L215" i="1"/>
  <c r="J215" i="1"/>
  <c r="H215" i="1"/>
  <c r="F215" i="1"/>
  <c r="F214" i="1"/>
  <c r="F213" i="1" s="1"/>
  <c r="D214" i="1"/>
  <c r="AD213" i="1"/>
  <c r="AB213" i="1"/>
  <c r="Z213" i="1"/>
  <c r="X213" i="1"/>
  <c r="V213" i="1"/>
  <c r="T213" i="1"/>
  <c r="R213" i="1"/>
  <c r="P213" i="1"/>
  <c r="N213" i="1"/>
  <c r="L213" i="1"/>
  <c r="J213" i="1"/>
  <c r="H213" i="1"/>
  <c r="F212" i="1"/>
  <c r="F211" i="1" s="1"/>
  <c r="D212" i="1"/>
  <c r="AD211" i="1"/>
  <c r="AB211" i="1"/>
  <c r="Z211" i="1"/>
  <c r="X211" i="1"/>
  <c r="X206" i="1" s="1"/>
  <c r="X205" i="1" s="1"/>
  <c r="V211" i="1"/>
  <c r="T211" i="1"/>
  <c r="R211" i="1"/>
  <c r="P211" i="1"/>
  <c r="P206" i="1" s="1"/>
  <c r="N211" i="1"/>
  <c r="L211" i="1"/>
  <c r="J211" i="1"/>
  <c r="H211" i="1"/>
  <c r="H206" i="1" s="1"/>
  <c r="F210" i="1"/>
  <c r="D210" i="1"/>
  <c r="AD209" i="1"/>
  <c r="AB209" i="1"/>
  <c r="Z209" i="1"/>
  <c r="X209" i="1"/>
  <c r="V209" i="1"/>
  <c r="T209" i="1"/>
  <c r="R209" i="1"/>
  <c r="P209" i="1"/>
  <c r="N209" i="1"/>
  <c r="L209" i="1"/>
  <c r="J209" i="1"/>
  <c r="H209" i="1"/>
  <c r="F209" i="1"/>
  <c r="F208" i="1"/>
  <c r="D208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AD206" i="1"/>
  <c r="V206" i="1"/>
  <c r="N206" i="1"/>
  <c r="F206" i="1"/>
  <c r="P205" i="1"/>
  <c r="F204" i="1"/>
  <c r="D204" i="1"/>
  <c r="F203" i="1"/>
  <c r="D203" i="1"/>
  <c r="F202" i="1"/>
  <c r="D202" i="1"/>
  <c r="F201" i="1"/>
  <c r="D201" i="1"/>
  <c r="F200" i="1"/>
  <c r="D200" i="1"/>
  <c r="F199" i="1"/>
  <c r="D199" i="1"/>
  <c r="F198" i="1"/>
  <c r="D198" i="1"/>
  <c r="F197" i="1"/>
  <c r="D197" i="1"/>
  <c r="F196" i="1"/>
  <c r="D196" i="1"/>
  <c r="AD195" i="1"/>
  <c r="AB195" i="1"/>
  <c r="Z195" i="1"/>
  <c r="X195" i="1"/>
  <c r="V195" i="1"/>
  <c r="T195" i="1"/>
  <c r="R195" i="1"/>
  <c r="P195" i="1"/>
  <c r="N195" i="1"/>
  <c r="L195" i="1"/>
  <c r="J195" i="1"/>
  <c r="H195" i="1"/>
  <c r="F195" i="1"/>
  <c r="AD194" i="1"/>
  <c r="AB194" i="1"/>
  <c r="Z194" i="1"/>
  <c r="X194" i="1"/>
  <c r="X177" i="1" s="1"/>
  <c r="V194" i="1"/>
  <c r="T194" i="1"/>
  <c r="R194" i="1"/>
  <c r="P194" i="1"/>
  <c r="P177" i="1" s="1"/>
  <c r="N194" i="1"/>
  <c r="L194" i="1"/>
  <c r="H194" i="1"/>
  <c r="F194" i="1"/>
  <c r="D194" i="1"/>
  <c r="AD193" i="1"/>
  <c r="AB193" i="1"/>
  <c r="Z193" i="1"/>
  <c r="X193" i="1"/>
  <c r="V193" i="1"/>
  <c r="T193" i="1"/>
  <c r="R193" i="1"/>
  <c r="P193" i="1"/>
  <c r="N193" i="1"/>
  <c r="L193" i="1"/>
  <c r="J193" i="1"/>
  <c r="F193" i="1" s="1"/>
  <c r="H193" i="1"/>
  <c r="D193" i="1"/>
  <c r="AD192" i="1"/>
  <c r="AB192" i="1"/>
  <c r="Z192" i="1"/>
  <c r="X192" i="1"/>
  <c r="V192" i="1"/>
  <c r="T192" i="1"/>
  <c r="R192" i="1"/>
  <c r="P192" i="1"/>
  <c r="N192" i="1"/>
  <c r="L192" i="1"/>
  <c r="J192" i="1"/>
  <c r="H192" i="1"/>
  <c r="F192" i="1"/>
  <c r="D192" i="1"/>
  <c r="AD191" i="1"/>
  <c r="AB191" i="1"/>
  <c r="Z191" i="1"/>
  <c r="X191" i="1"/>
  <c r="V191" i="1"/>
  <c r="T191" i="1"/>
  <c r="R191" i="1"/>
  <c r="P191" i="1"/>
  <c r="N191" i="1"/>
  <c r="L191" i="1"/>
  <c r="J191" i="1"/>
  <c r="F191" i="1" s="1"/>
  <c r="H191" i="1"/>
  <c r="D191" i="1"/>
  <c r="AD190" i="1"/>
  <c r="AB190" i="1"/>
  <c r="Z190" i="1"/>
  <c r="X190" i="1"/>
  <c r="V190" i="1"/>
  <c r="T190" i="1"/>
  <c r="R190" i="1"/>
  <c r="P190" i="1"/>
  <c r="N190" i="1"/>
  <c r="L190" i="1"/>
  <c r="J190" i="1"/>
  <c r="H190" i="1"/>
  <c r="F190" i="1"/>
  <c r="D190" i="1"/>
  <c r="AD189" i="1"/>
  <c r="AB189" i="1"/>
  <c r="Z189" i="1"/>
  <c r="X189" i="1"/>
  <c r="V189" i="1"/>
  <c r="T189" i="1"/>
  <c r="R189" i="1"/>
  <c r="P189" i="1"/>
  <c r="N189" i="1"/>
  <c r="L189" i="1"/>
  <c r="J189" i="1"/>
  <c r="F189" i="1" s="1"/>
  <c r="H189" i="1"/>
  <c r="D189" i="1"/>
  <c r="AD188" i="1"/>
  <c r="AB188" i="1"/>
  <c r="Z188" i="1"/>
  <c r="X188" i="1"/>
  <c r="V188" i="1"/>
  <c r="T188" i="1"/>
  <c r="R188" i="1"/>
  <c r="P188" i="1"/>
  <c r="N188" i="1"/>
  <c r="L188" i="1"/>
  <c r="J188" i="1"/>
  <c r="H188" i="1"/>
  <c r="F188" i="1"/>
  <c r="D188" i="1"/>
  <c r="AD187" i="1"/>
  <c r="AB187" i="1"/>
  <c r="Z187" i="1"/>
  <c r="X187" i="1"/>
  <c r="V187" i="1"/>
  <c r="T187" i="1"/>
  <c r="R187" i="1"/>
  <c r="P187" i="1"/>
  <c r="N187" i="1"/>
  <c r="L187" i="1"/>
  <c r="J187" i="1"/>
  <c r="F187" i="1" s="1"/>
  <c r="H187" i="1"/>
  <c r="D187" i="1"/>
  <c r="AD186" i="1"/>
  <c r="AB186" i="1"/>
  <c r="Z186" i="1"/>
  <c r="X186" i="1"/>
  <c r="V186" i="1"/>
  <c r="T186" i="1"/>
  <c r="R186" i="1"/>
  <c r="P186" i="1"/>
  <c r="N186" i="1"/>
  <c r="L186" i="1"/>
  <c r="J186" i="1"/>
  <c r="H186" i="1"/>
  <c r="F186" i="1"/>
  <c r="D186" i="1"/>
  <c r="AD185" i="1"/>
  <c r="AB185" i="1"/>
  <c r="Z185" i="1"/>
  <c r="X185" i="1"/>
  <c r="V185" i="1"/>
  <c r="T185" i="1"/>
  <c r="R185" i="1"/>
  <c r="P185" i="1"/>
  <c r="N185" i="1"/>
  <c r="L185" i="1"/>
  <c r="J185" i="1"/>
  <c r="F185" i="1" s="1"/>
  <c r="H185" i="1"/>
  <c r="D185" i="1"/>
  <c r="AD184" i="1"/>
  <c r="AB184" i="1"/>
  <c r="Z184" i="1"/>
  <c r="X184" i="1"/>
  <c r="V184" i="1"/>
  <c r="T184" i="1"/>
  <c r="R184" i="1"/>
  <c r="P184" i="1"/>
  <c r="N184" i="1"/>
  <c r="L184" i="1"/>
  <c r="J184" i="1"/>
  <c r="H184" i="1"/>
  <c r="F184" i="1"/>
  <c r="D184" i="1"/>
  <c r="AD183" i="1"/>
  <c r="AB183" i="1"/>
  <c r="Z183" i="1"/>
  <c r="X183" i="1"/>
  <c r="V183" i="1"/>
  <c r="T183" i="1"/>
  <c r="R183" i="1"/>
  <c r="P183" i="1"/>
  <c r="N183" i="1"/>
  <c r="L183" i="1"/>
  <c r="J183" i="1"/>
  <c r="F183" i="1" s="1"/>
  <c r="H183" i="1"/>
  <c r="D183" i="1"/>
  <c r="AD182" i="1"/>
  <c r="AB182" i="1"/>
  <c r="Z182" i="1"/>
  <c r="X182" i="1"/>
  <c r="V182" i="1"/>
  <c r="V177" i="1" s="1"/>
  <c r="T182" i="1"/>
  <c r="R182" i="1"/>
  <c r="P182" i="1"/>
  <c r="N182" i="1"/>
  <c r="L182" i="1"/>
  <c r="J182" i="1"/>
  <c r="H182" i="1"/>
  <c r="F182" i="1"/>
  <c r="D182" i="1"/>
  <c r="AD181" i="1"/>
  <c r="AB181" i="1"/>
  <c r="Z181" i="1"/>
  <c r="X181" i="1"/>
  <c r="V181" i="1"/>
  <c r="T181" i="1"/>
  <c r="R181" i="1"/>
  <c r="P181" i="1"/>
  <c r="N181" i="1"/>
  <c r="L181" i="1"/>
  <c r="J181" i="1"/>
  <c r="F181" i="1" s="1"/>
  <c r="H181" i="1"/>
  <c r="D181" i="1"/>
  <c r="AD180" i="1"/>
  <c r="AB180" i="1"/>
  <c r="Z180" i="1"/>
  <c r="X180" i="1"/>
  <c r="V180" i="1"/>
  <c r="T180" i="1"/>
  <c r="R180" i="1"/>
  <c r="N180" i="1"/>
  <c r="L180" i="1"/>
  <c r="F180" i="1" s="1"/>
  <c r="H180" i="1"/>
  <c r="D180" i="1"/>
  <c r="AD179" i="1"/>
  <c r="AD177" i="1" s="1"/>
  <c r="AB179" i="1"/>
  <c r="Z179" i="1"/>
  <c r="X179" i="1"/>
  <c r="V179" i="1"/>
  <c r="T179" i="1"/>
  <c r="R179" i="1"/>
  <c r="P179" i="1"/>
  <c r="N179" i="1"/>
  <c r="N177" i="1" s="1"/>
  <c r="L179" i="1"/>
  <c r="J179" i="1"/>
  <c r="H179" i="1"/>
  <c r="F179" i="1"/>
  <c r="D179" i="1"/>
  <c r="AD178" i="1"/>
  <c r="AB178" i="1"/>
  <c r="AB177" i="1" s="1"/>
  <c r="Z178" i="1"/>
  <c r="X178" i="1"/>
  <c r="V178" i="1"/>
  <c r="T178" i="1"/>
  <c r="T177" i="1" s="1"/>
  <c r="R178" i="1"/>
  <c r="P178" i="1"/>
  <c r="N178" i="1"/>
  <c r="L178" i="1"/>
  <c r="J178" i="1"/>
  <c r="H178" i="1"/>
  <c r="D178" i="1"/>
  <c r="H177" i="1"/>
  <c r="X176" i="1"/>
  <c r="P176" i="1"/>
  <c r="J176" i="1"/>
  <c r="F176" i="1"/>
  <c r="F175" i="1" s="1"/>
  <c r="D176" i="1"/>
  <c r="AD175" i="1"/>
  <c r="AB175" i="1"/>
  <c r="Z175" i="1"/>
  <c r="X175" i="1"/>
  <c r="V175" i="1"/>
  <c r="T175" i="1"/>
  <c r="R175" i="1"/>
  <c r="P175" i="1"/>
  <c r="N175" i="1"/>
  <c r="L175" i="1"/>
  <c r="J175" i="1"/>
  <c r="H175" i="1"/>
  <c r="T174" i="1"/>
  <c r="L174" i="1"/>
  <c r="D174" i="1"/>
  <c r="L173" i="1"/>
  <c r="F173" i="1"/>
  <c r="D173" i="1"/>
  <c r="AD172" i="1"/>
  <c r="AB172" i="1"/>
  <c r="Z172" i="1"/>
  <c r="X172" i="1"/>
  <c r="V172" i="1"/>
  <c r="T172" i="1"/>
  <c r="R172" i="1"/>
  <c r="P172" i="1"/>
  <c r="N172" i="1"/>
  <c r="J172" i="1"/>
  <c r="H172" i="1"/>
  <c r="AD171" i="1"/>
  <c r="AB171" i="1"/>
  <c r="Z171" i="1"/>
  <c r="X171" i="1"/>
  <c r="V171" i="1"/>
  <c r="T171" i="1"/>
  <c r="R171" i="1"/>
  <c r="P171" i="1"/>
  <c r="N171" i="1"/>
  <c r="L171" i="1"/>
  <c r="F171" i="1" s="1"/>
  <c r="J171" i="1"/>
  <c r="H171" i="1"/>
  <c r="D171" i="1"/>
  <c r="AD170" i="1"/>
  <c r="AB170" i="1"/>
  <c r="Z170" i="1"/>
  <c r="X170" i="1"/>
  <c r="X162" i="1" s="1"/>
  <c r="X161" i="1" s="1"/>
  <c r="V170" i="1"/>
  <c r="T170" i="1"/>
  <c r="R170" i="1"/>
  <c r="P170" i="1"/>
  <c r="P162" i="1" s="1"/>
  <c r="P161" i="1" s="1"/>
  <c r="N170" i="1"/>
  <c r="L170" i="1"/>
  <c r="J170" i="1"/>
  <c r="H170" i="1"/>
  <c r="F170" i="1" s="1"/>
  <c r="D170" i="1"/>
  <c r="AD169" i="1"/>
  <c r="AB169" i="1"/>
  <c r="Z169" i="1"/>
  <c r="X169" i="1"/>
  <c r="V169" i="1"/>
  <c r="T169" i="1"/>
  <c r="R169" i="1"/>
  <c r="P169" i="1"/>
  <c r="N169" i="1"/>
  <c r="L169" i="1"/>
  <c r="F169" i="1" s="1"/>
  <c r="J169" i="1"/>
  <c r="H169" i="1"/>
  <c r="D169" i="1"/>
  <c r="AD168" i="1"/>
  <c r="AB168" i="1"/>
  <c r="Z168" i="1"/>
  <c r="X168" i="1"/>
  <c r="V168" i="1"/>
  <c r="T168" i="1"/>
  <c r="R168" i="1"/>
  <c r="P168" i="1"/>
  <c r="N168" i="1"/>
  <c r="L168" i="1"/>
  <c r="J168" i="1"/>
  <c r="H168" i="1"/>
  <c r="F168" i="1" s="1"/>
  <c r="AD167" i="1"/>
  <c r="AB167" i="1"/>
  <c r="Z167" i="1"/>
  <c r="Z162" i="1" s="1"/>
  <c r="X167" i="1"/>
  <c r="V167" i="1"/>
  <c r="T167" i="1"/>
  <c r="R167" i="1"/>
  <c r="R162" i="1" s="1"/>
  <c r="P167" i="1"/>
  <c r="N167" i="1"/>
  <c r="L167" i="1"/>
  <c r="J167" i="1"/>
  <c r="D167" i="1"/>
  <c r="AD166" i="1"/>
  <c r="AB166" i="1"/>
  <c r="Z166" i="1"/>
  <c r="X166" i="1"/>
  <c r="V166" i="1"/>
  <c r="T166" i="1"/>
  <c r="R166" i="1"/>
  <c r="P166" i="1"/>
  <c r="N166" i="1"/>
  <c r="L166" i="1"/>
  <c r="J166" i="1"/>
  <c r="D166" i="1"/>
  <c r="AD165" i="1"/>
  <c r="AD162" i="1" s="1"/>
  <c r="AB165" i="1"/>
  <c r="AB162" i="1" s="1"/>
  <c r="AB161" i="1" s="1"/>
  <c r="Z165" i="1"/>
  <c r="X165" i="1"/>
  <c r="V165" i="1"/>
  <c r="V162" i="1" s="1"/>
  <c r="T165" i="1"/>
  <c r="T162" i="1" s="1"/>
  <c r="T161" i="1" s="1"/>
  <c r="R165" i="1"/>
  <c r="P165" i="1"/>
  <c r="N165" i="1"/>
  <c r="L165" i="1"/>
  <c r="L162" i="1" s="1"/>
  <c r="J165" i="1"/>
  <c r="D165" i="1"/>
  <c r="F164" i="1"/>
  <c r="D164" i="1"/>
  <c r="F163" i="1"/>
  <c r="D163" i="1"/>
  <c r="F160" i="1"/>
  <c r="D160" i="1"/>
  <c r="F159" i="1"/>
  <c r="D159" i="1"/>
  <c r="AD158" i="1"/>
  <c r="AB158" i="1"/>
  <c r="Z158" i="1"/>
  <c r="X158" i="1"/>
  <c r="V158" i="1"/>
  <c r="T158" i="1"/>
  <c r="R158" i="1"/>
  <c r="P158" i="1"/>
  <c r="N158" i="1"/>
  <c r="L158" i="1"/>
  <c r="J158" i="1"/>
  <c r="H158" i="1"/>
  <c r="F158" i="1"/>
  <c r="L157" i="1"/>
  <c r="L156" i="1" s="1"/>
  <c r="L155" i="1" s="1"/>
  <c r="J157" i="1"/>
  <c r="D157" i="1"/>
  <c r="AD156" i="1"/>
  <c r="AD155" i="1" s="1"/>
  <c r="AB156" i="1"/>
  <c r="AB155" i="1" s="1"/>
  <c r="Z156" i="1"/>
  <c r="X156" i="1"/>
  <c r="V156" i="1"/>
  <c r="V155" i="1" s="1"/>
  <c r="T156" i="1"/>
  <c r="T155" i="1" s="1"/>
  <c r="R156" i="1"/>
  <c r="P156" i="1"/>
  <c r="N156" i="1"/>
  <c r="N155" i="1" s="1"/>
  <c r="H156" i="1"/>
  <c r="Z155" i="1"/>
  <c r="X155" i="1"/>
  <c r="R155" i="1"/>
  <c r="P155" i="1"/>
  <c r="H155" i="1"/>
  <c r="AD154" i="1"/>
  <c r="AB154" i="1"/>
  <c r="Z154" i="1"/>
  <c r="X154" i="1"/>
  <c r="V154" i="1"/>
  <c r="T154" i="1"/>
  <c r="R154" i="1"/>
  <c r="P154" i="1"/>
  <c r="N154" i="1"/>
  <c r="L154" i="1"/>
  <c r="L152" i="1" s="1"/>
  <c r="L151" i="1" s="1"/>
  <c r="J154" i="1"/>
  <c r="H154" i="1"/>
  <c r="F154" i="1" s="1"/>
  <c r="D154" i="1"/>
  <c r="F153" i="1"/>
  <c r="D153" i="1"/>
  <c r="AD152" i="1"/>
  <c r="AB152" i="1"/>
  <c r="Z152" i="1"/>
  <c r="Z151" i="1" s="1"/>
  <c r="X152" i="1"/>
  <c r="X151" i="1" s="1"/>
  <c r="V152" i="1"/>
  <c r="T152" i="1"/>
  <c r="R152" i="1"/>
  <c r="R151" i="1" s="1"/>
  <c r="P152" i="1"/>
  <c r="P151" i="1" s="1"/>
  <c r="N152" i="1"/>
  <c r="J152" i="1"/>
  <c r="J151" i="1" s="1"/>
  <c r="H152" i="1"/>
  <c r="H151" i="1" s="1"/>
  <c r="AD151" i="1"/>
  <c r="AB151" i="1"/>
  <c r="V151" i="1"/>
  <c r="T151" i="1"/>
  <c r="N151" i="1"/>
  <c r="N150" i="1"/>
  <c r="N149" i="1" s="1"/>
  <c r="L150" i="1"/>
  <c r="L149" i="1" s="1"/>
  <c r="J150" i="1"/>
  <c r="F150" i="1"/>
  <c r="F149" i="1" s="1"/>
  <c r="D150" i="1"/>
  <c r="AD149" i="1"/>
  <c r="AB149" i="1"/>
  <c r="Z149" i="1"/>
  <c r="X149" i="1"/>
  <c r="V149" i="1"/>
  <c r="T149" i="1"/>
  <c r="R149" i="1"/>
  <c r="P149" i="1"/>
  <c r="J149" i="1"/>
  <c r="H149" i="1"/>
  <c r="N148" i="1"/>
  <c r="L148" i="1"/>
  <c r="J148" i="1"/>
  <c r="F148" i="1" s="1"/>
  <c r="D148" i="1"/>
  <c r="L147" i="1"/>
  <c r="L144" i="1" s="1"/>
  <c r="J147" i="1"/>
  <c r="H147" i="1"/>
  <c r="F147" i="1" s="1"/>
  <c r="D147" i="1"/>
  <c r="F146" i="1"/>
  <c r="D146" i="1"/>
  <c r="F145" i="1"/>
  <c r="D145" i="1"/>
  <c r="AD144" i="1"/>
  <c r="AB144" i="1"/>
  <c r="Z144" i="1"/>
  <c r="X144" i="1"/>
  <c r="V144" i="1"/>
  <c r="T144" i="1"/>
  <c r="R144" i="1"/>
  <c r="P144" i="1"/>
  <c r="N144" i="1"/>
  <c r="H144" i="1"/>
  <c r="F144" i="1"/>
  <c r="AD143" i="1"/>
  <c r="AB143" i="1"/>
  <c r="Z143" i="1"/>
  <c r="X143" i="1"/>
  <c r="X142" i="1" s="1"/>
  <c r="V143" i="1"/>
  <c r="T143" i="1"/>
  <c r="R143" i="1"/>
  <c r="P143" i="1"/>
  <c r="P142" i="1" s="1"/>
  <c r="N143" i="1"/>
  <c r="L143" i="1"/>
  <c r="J143" i="1"/>
  <c r="H143" i="1"/>
  <c r="D143" i="1"/>
  <c r="AD142" i="1"/>
  <c r="AB142" i="1"/>
  <c r="Z142" i="1"/>
  <c r="V142" i="1"/>
  <c r="T142" i="1"/>
  <c r="R142" i="1"/>
  <c r="N142" i="1"/>
  <c r="L142" i="1"/>
  <c r="J142" i="1"/>
  <c r="H141" i="1"/>
  <c r="F141" i="1" s="1"/>
  <c r="F138" i="1" s="1"/>
  <c r="D141" i="1"/>
  <c r="F140" i="1"/>
  <c r="D140" i="1"/>
  <c r="F139" i="1"/>
  <c r="D139" i="1"/>
  <c r="AD138" i="1"/>
  <c r="AB138" i="1"/>
  <c r="AB135" i="1" s="1"/>
  <c r="Z138" i="1"/>
  <c r="X138" i="1"/>
  <c r="V138" i="1"/>
  <c r="V135" i="1" s="1"/>
  <c r="T138" i="1"/>
  <c r="T135" i="1" s="1"/>
  <c r="R138" i="1"/>
  <c r="P138" i="1"/>
  <c r="N138" i="1"/>
  <c r="L138" i="1"/>
  <c r="J138" i="1"/>
  <c r="H138" i="1"/>
  <c r="F137" i="1"/>
  <c r="F136" i="1" s="1"/>
  <c r="F135" i="1" s="1"/>
  <c r="D137" i="1"/>
  <c r="AD136" i="1"/>
  <c r="AB136" i="1"/>
  <c r="Z136" i="1"/>
  <c r="X136" i="1"/>
  <c r="X135" i="1" s="1"/>
  <c r="V136" i="1"/>
  <c r="T136" i="1"/>
  <c r="R136" i="1"/>
  <c r="R135" i="1" s="1"/>
  <c r="P136" i="1"/>
  <c r="P135" i="1" s="1"/>
  <c r="N136" i="1"/>
  <c r="L136" i="1"/>
  <c r="J136" i="1"/>
  <c r="H136" i="1"/>
  <c r="AD135" i="1"/>
  <c r="Z135" i="1"/>
  <c r="N135" i="1"/>
  <c r="H135" i="1"/>
  <c r="AD134" i="1"/>
  <c r="AB134" i="1"/>
  <c r="Z134" i="1"/>
  <c r="X134" i="1"/>
  <c r="V134" i="1"/>
  <c r="T134" i="1"/>
  <c r="R134" i="1"/>
  <c r="P134" i="1"/>
  <c r="N134" i="1"/>
  <c r="L134" i="1"/>
  <c r="J134" i="1"/>
  <c r="H134" i="1"/>
  <c r="F134" i="1" s="1"/>
  <c r="D134" i="1"/>
  <c r="AD133" i="1"/>
  <c r="AB133" i="1"/>
  <c r="AB131" i="1" s="1"/>
  <c r="AB130" i="1" s="1"/>
  <c r="Z133" i="1"/>
  <c r="X133" i="1"/>
  <c r="V133" i="1"/>
  <c r="T133" i="1"/>
  <c r="T131" i="1" s="1"/>
  <c r="T130" i="1" s="1"/>
  <c r="R133" i="1"/>
  <c r="P133" i="1"/>
  <c r="N133" i="1"/>
  <c r="L133" i="1"/>
  <c r="L131" i="1" s="1"/>
  <c r="L130" i="1" s="1"/>
  <c r="J133" i="1"/>
  <c r="H133" i="1"/>
  <c r="D133" i="1"/>
  <c r="AD132" i="1"/>
  <c r="AB132" i="1"/>
  <c r="Z132" i="1"/>
  <c r="Z131" i="1" s="1"/>
  <c r="Z130" i="1" s="1"/>
  <c r="X132" i="1"/>
  <c r="X131" i="1" s="1"/>
  <c r="X130" i="1" s="1"/>
  <c r="V132" i="1"/>
  <c r="T132" i="1"/>
  <c r="R132" i="1"/>
  <c r="R131" i="1" s="1"/>
  <c r="R130" i="1" s="1"/>
  <c r="P132" i="1"/>
  <c r="P131" i="1" s="1"/>
  <c r="P130" i="1" s="1"/>
  <c r="N132" i="1"/>
  <c r="L132" i="1"/>
  <c r="J132" i="1"/>
  <c r="J131" i="1" s="1"/>
  <c r="J130" i="1" s="1"/>
  <c r="H132" i="1"/>
  <c r="D132" i="1"/>
  <c r="AD131" i="1"/>
  <c r="V131" i="1"/>
  <c r="N131" i="1"/>
  <c r="AD130" i="1"/>
  <c r="V130" i="1"/>
  <c r="N130" i="1"/>
  <c r="AD129" i="1"/>
  <c r="AB129" i="1"/>
  <c r="Z129" i="1"/>
  <c r="Z128" i="1" s="1"/>
  <c r="X129" i="1"/>
  <c r="X128" i="1" s="1"/>
  <c r="V129" i="1"/>
  <c r="T129" i="1"/>
  <c r="R129" i="1"/>
  <c r="R128" i="1" s="1"/>
  <c r="P129" i="1"/>
  <c r="P128" i="1" s="1"/>
  <c r="N129" i="1"/>
  <c r="L129" i="1"/>
  <c r="J129" i="1"/>
  <c r="J128" i="1" s="1"/>
  <c r="H129" i="1"/>
  <c r="D129" i="1"/>
  <c r="AD128" i="1"/>
  <c r="AB128" i="1"/>
  <c r="V128" i="1"/>
  <c r="T128" i="1"/>
  <c r="N128" i="1"/>
  <c r="L128" i="1"/>
  <c r="AF127" i="1"/>
  <c r="X127" i="1" s="1"/>
  <c r="P127" i="1"/>
  <c r="D127" i="1"/>
  <c r="AF126" i="1"/>
  <c r="AB126" i="1" s="1"/>
  <c r="AD126" i="1"/>
  <c r="Z126" i="1"/>
  <c r="X126" i="1"/>
  <c r="V126" i="1"/>
  <c r="R126" i="1"/>
  <c r="P126" i="1"/>
  <c r="N126" i="1"/>
  <c r="J126" i="1"/>
  <c r="H126" i="1"/>
  <c r="D126" i="1"/>
  <c r="AF125" i="1"/>
  <c r="Z125" i="1" s="1"/>
  <c r="AB125" i="1"/>
  <c r="X125" i="1"/>
  <c r="T125" i="1"/>
  <c r="P125" i="1"/>
  <c r="L125" i="1"/>
  <c r="H125" i="1"/>
  <c r="D125" i="1"/>
  <c r="AF124" i="1"/>
  <c r="AD124" i="1"/>
  <c r="AB124" i="1"/>
  <c r="Z124" i="1"/>
  <c r="X124" i="1"/>
  <c r="V124" i="1"/>
  <c r="T124" i="1"/>
  <c r="R124" i="1"/>
  <c r="P124" i="1"/>
  <c r="N124" i="1"/>
  <c r="L124" i="1"/>
  <c r="J124" i="1"/>
  <c r="F124" i="1" s="1"/>
  <c r="H124" i="1"/>
  <c r="D124" i="1"/>
  <c r="AF123" i="1"/>
  <c r="X123" i="1"/>
  <c r="P123" i="1"/>
  <c r="H123" i="1"/>
  <c r="D123" i="1"/>
  <c r="AF122" i="1"/>
  <c r="AB122" i="1" s="1"/>
  <c r="AD122" i="1"/>
  <c r="Z122" i="1"/>
  <c r="X122" i="1"/>
  <c r="V122" i="1"/>
  <c r="R122" i="1"/>
  <c r="P122" i="1"/>
  <c r="N122" i="1"/>
  <c r="J122" i="1"/>
  <c r="H122" i="1"/>
  <c r="D122" i="1"/>
  <c r="AF121" i="1"/>
  <c r="AB121" i="1" s="1"/>
  <c r="X121" i="1"/>
  <c r="P121" i="1"/>
  <c r="H121" i="1"/>
  <c r="D121" i="1"/>
  <c r="AF120" i="1"/>
  <c r="AD120" i="1"/>
  <c r="AB120" i="1"/>
  <c r="Z120" i="1"/>
  <c r="X120" i="1"/>
  <c r="V120" i="1"/>
  <c r="T120" i="1"/>
  <c r="R120" i="1"/>
  <c r="P120" i="1"/>
  <c r="N120" i="1"/>
  <c r="L120" i="1"/>
  <c r="J120" i="1"/>
  <c r="H120" i="1"/>
  <c r="F120" i="1"/>
  <c r="D120" i="1"/>
  <c r="AF119" i="1"/>
  <c r="AB119" i="1"/>
  <c r="X119" i="1"/>
  <c r="T119" i="1"/>
  <c r="P119" i="1"/>
  <c r="L119" i="1"/>
  <c r="H119" i="1"/>
  <c r="D119" i="1"/>
  <c r="AF118" i="1"/>
  <c r="AB118" i="1" s="1"/>
  <c r="AD118" i="1"/>
  <c r="Z118" i="1"/>
  <c r="X118" i="1"/>
  <c r="V118" i="1"/>
  <c r="R118" i="1"/>
  <c r="P118" i="1"/>
  <c r="N118" i="1"/>
  <c r="J118" i="1"/>
  <c r="H118" i="1"/>
  <c r="D118" i="1"/>
  <c r="AF117" i="1"/>
  <c r="AB117" i="1"/>
  <c r="X117" i="1"/>
  <c r="T117" i="1"/>
  <c r="P117" i="1"/>
  <c r="L117" i="1"/>
  <c r="H117" i="1"/>
  <c r="D117" i="1"/>
  <c r="AF116" i="1"/>
  <c r="AD116" i="1"/>
  <c r="AB116" i="1"/>
  <c r="Z116" i="1"/>
  <c r="X116" i="1"/>
  <c r="V116" i="1"/>
  <c r="T116" i="1"/>
  <c r="R116" i="1"/>
  <c r="P116" i="1"/>
  <c r="N116" i="1"/>
  <c r="L116" i="1"/>
  <c r="J116" i="1"/>
  <c r="F116" i="1" s="1"/>
  <c r="H116" i="1"/>
  <c r="D116" i="1"/>
  <c r="AF115" i="1"/>
  <c r="D115" i="1"/>
  <c r="AF114" i="1"/>
  <c r="AB114" i="1" s="1"/>
  <c r="AD114" i="1"/>
  <c r="Z114" i="1"/>
  <c r="X114" i="1"/>
  <c r="V114" i="1"/>
  <c r="R114" i="1"/>
  <c r="P114" i="1"/>
  <c r="N114" i="1"/>
  <c r="J114" i="1"/>
  <c r="H114" i="1"/>
  <c r="D114" i="1"/>
  <c r="AF113" i="1"/>
  <c r="V113" i="1"/>
  <c r="L113" i="1"/>
  <c r="D113" i="1"/>
  <c r="AF112" i="1"/>
  <c r="AD112" i="1"/>
  <c r="AB112" i="1"/>
  <c r="Z112" i="1"/>
  <c r="X112" i="1"/>
  <c r="V112" i="1"/>
  <c r="T112" i="1"/>
  <c r="R112" i="1"/>
  <c r="P112" i="1"/>
  <c r="N112" i="1"/>
  <c r="L112" i="1"/>
  <c r="J112" i="1"/>
  <c r="F112" i="1" s="1"/>
  <c r="H112" i="1"/>
  <c r="D112" i="1"/>
  <c r="AF111" i="1"/>
  <c r="AB111" i="1"/>
  <c r="X111" i="1"/>
  <c r="T111" i="1"/>
  <c r="R111" i="1"/>
  <c r="L111" i="1"/>
  <c r="J111" i="1"/>
  <c r="H111" i="1"/>
  <c r="D111" i="1"/>
  <c r="AF110" i="1"/>
  <c r="AB110" i="1" s="1"/>
  <c r="AD110" i="1"/>
  <c r="Z110" i="1"/>
  <c r="X110" i="1"/>
  <c r="V110" i="1"/>
  <c r="R110" i="1"/>
  <c r="P110" i="1"/>
  <c r="N110" i="1"/>
  <c r="J110" i="1"/>
  <c r="H110" i="1"/>
  <c r="D110" i="1"/>
  <c r="AF109" i="1"/>
  <c r="Z109" i="1" s="1"/>
  <c r="AB109" i="1"/>
  <c r="X109" i="1"/>
  <c r="T109" i="1"/>
  <c r="P109" i="1"/>
  <c r="L109" i="1"/>
  <c r="H109" i="1"/>
  <c r="D109" i="1"/>
  <c r="AF108" i="1"/>
  <c r="AD108" i="1"/>
  <c r="AB108" i="1"/>
  <c r="Z108" i="1"/>
  <c r="X108" i="1"/>
  <c r="V108" i="1"/>
  <c r="T108" i="1"/>
  <c r="R108" i="1"/>
  <c r="P108" i="1"/>
  <c r="N108" i="1"/>
  <c r="L108" i="1"/>
  <c r="J108" i="1"/>
  <c r="F108" i="1" s="1"/>
  <c r="H108" i="1"/>
  <c r="D108" i="1"/>
  <c r="AF107" i="1"/>
  <c r="X107" i="1"/>
  <c r="D107" i="1"/>
  <c r="AF106" i="1"/>
  <c r="AB106" i="1" s="1"/>
  <c r="AD106" i="1"/>
  <c r="Z106" i="1"/>
  <c r="X106" i="1"/>
  <c r="V106" i="1"/>
  <c r="R106" i="1"/>
  <c r="P106" i="1"/>
  <c r="N106" i="1"/>
  <c r="J106" i="1"/>
  <c r="H106" i="1"/>
  <c r="D106" i="1"/>
  <c r="AF105" i="1"/>
  <c r="Z105" i="1" s="1"/>
  <c r="AB105" i="1"/>
  <c r="X105" i="1"/>
  <c r="T105" i="1"/>
  <c r="P105" i="1"/>
  <c r="L105" i="1"/>
  <c r="H105" i="1"/>
  <c r="D105" i="1"/>
  <c r="AF104" i="1"/>
  <c r="AD104" i="1"/>
  <c r="AB104" i="1"/>
  <c r="Z104" i="1"/>
  <c r="X104" i="1"/>
  <c r="V104" i="1"/>
  <c r="T104" i="1"/>
  <c r="R104" i="1"/>
  <c r="P104" i="1"/>
  <c r="N104" i="1"/>
  <c r="L104" i="1"/>
  <c r="J104" i="1"/>
  <c r="F104" i="1" s="1"/>
  <c r="H104" i="1"/>
  <c r="D104" i="1"/>
  <c r="AF103" i="1"/>
  <c r="X103" i="1"/>
  <c r="P103" i="1"/>
  <c r="H103" i="1"/>
  <c r="D103" i="1"/>
  <c r="AF102" i="1"/>
  <c r="AB102" i="1" s="1"/>
  <c r="AD102" i="1"/>
  <c r="Z102" i="1"/>
  <c r="X102" i="1"/>
  <c r="V102" i="1"/>
  <c r="R102" i="1"/>
  <c r="P102" i="1"/>
  <c r="N102" i="1"/>
  <c r="J102" i="1"/>
  <c r="H102" i="1"/>
  <c r="D102" i="1"/>
  <c r="AF101" i="1"/>
  <c r="Z101" i="1" s="1"/>
  <c r="AB101" i="1"/>
  <c r="X101" i="1"/>
  <c r="T101" i="1"/>
  <c r="P101" i="1"/>
  <c r="L101" i="1"/>
  <c r="H101" i="1"/>
  <c r="D101" i="1"/>
  <c r="AF100" i="1"/>
  <c r="AD100" i="1"/>
  <c r="AB100" i="1"/>
  <c r="Z100" i="1"/>
  <c r="X100" i="1"/>
  <c r="V100" i="1"/>
  <c r="T100" i="1"/>
  <c r="R100" i="1"/>
  <c r="P100" i="1"/>
  <c r="N100" i="1"/>
  <c r="L100" i="1"/>
  <c r="J100" i="1"/>
  <c r="F100" i="1" s="1"/>
  <c r="H100" i="1"/>
  <c r="D100" i="1"/>
  <c r="AF99" i="1"/>
  <c r="X99" i="1"/>
  <c r="P99" i="1"/>
  <c r="H99" i="1"/>
  <c r="D99" i="1"/>
  <c r="AF98" i="1"/>
  <c r="AB98" i="1" s="1"/>
  <c r="AD98" i="1"/>
  <c r="Z98" i="1"/>
  <c r="X98" i="1"/>
  <c r="V98" i="1"/>
  <c r="R98" i="1"/>
  <c r="P98" i="1"/>
  <c r="N98" i="1"/>
  <c r="J98" i="1"/>
  <c r="H98" i="1"/>
  <c r="D98" i="1"/>
  <c r="AF97" i="1"/>
  <c r="Z97" i="1" s="1"/>
  <c r="AB97" i="1"/>
  <c r="X97" i="1"/>
  <c r="T97" i="1"/>
  <c r="P97" i="1"/>
  <c r="L97" i="1"/>
  <c r="H97" i="1"/>
  <c r="D97" i="1"/>
  <c r="AF96" i="1"/>
  <c r="AD96" i="1"/>
  <c r="AB96" i="1"/>
  <c r="Z96" i="1"/>
  <c r="X96" i="1"/>
  <c r="V96" i="1"/>
  <c r="T96" i="1"/>
  <c r="R96" i="1"/>
  <c r="P96" i="1"/>
  <c r="N96" i="1"/>
  <c r="L96" i="1"/>
  <c r="J96" i="1"/>
  <c r="F96" i="1" s="1"/>
  <c r="H96" i="1"/>
  <c r="D96" i="1"/>
  <c r="AF95" i="1"/>
  <c r="D95" i="1"/>
  <c r="AF94" i="1"/>
  <c r="AB94" i="1" s="1"/>
  <c r="AD94" i="1"/>
  <c r="Z94" i="1"/>
  <c r="X94" i="1"/>
  <c r="V94" i="1"/>
  <c r="R94" i="1"/>
  <c r="P94" i="1"/>
  <c r="N94" i="1"/>
  <c r="J94" i="1"/>
  <c r="H94" i="1"/>
  <c r="D94" i="1"/>
  <c r="AF93" i="1"/>
  <c r="Z93" i="1" s="1"/>
  <c r="AB93" i="1"/>
  <c r="X93" i="1"/>
  <c r="T93" i="1"/>
  <c r="P93" i="1"/>
  <c r="L93" i="1"/>
  <c r="H93" i="1"/>
  <c r="D93" i="1"/>
  <c r="F91" i="1"/>
  <c r="D91" i="1"/>
  <c r="AD90" i="1"/>
  <c r="AB90" i="1"/>
  <c r="Z90" i="1"/>
  <c r="X90" i="1"/>
  <c r="V90" i="1"/>
  <c r="T90" i="1"/>
  <c r="R90" i="1"/>
  <c r="P90" i="1"/>
  <c r="N90" i="1"/>
  <c r="L90" i="1"/>
  <c r="J90" i="1"/>
  <c r="H90" i="1"/>
  <c r="F90" i="1"/>
  <c r="AD89" i="1"/>
  <c r="AB89" i="1"/>
  <c r="Z89" i="1"/>
  <c r="X89" i="1"/>
  <c r="V89" i="1"/>
  <c r="T89" i="1"/>
  <c r="R89" i="1"/>
  <c r="P89" i="1"/>
  <c r="N89" i="1"/>
  <c r="L89" i="1"/>
  <c r="J89" i="1"/>
  <c r="H89" i="1"/>
  <c r="F89" i="1" s="1"/>
  <c r="D89" i="1"/>
  <c r="AD88" i="1"/>
  <c r="AB88" i="1"/>
  <c r="Z88" i="1"/>
  <c r="X88" i="1"/>
  <c r="V88" i="1"/>
  <c r="T88" i="1"/>
  <c r="R88" i="1"/>
  <c r="P88" i="1"/>
  <c r="N88" i="1"/>
  <c r="L88" i="1"/>
  <c r="J88" i="1"/>
  <c r="H88" i="1"/>
  <c r="F88" i="1" s="1"/>
  <c r="D88" i="1"/>
  <c r="AD87" i="1"/>
  <c r="AB87" i="1"/>
  <c r="Z87" i="1"/>
  <c r="X87" i="1"/>
  <c r="V87" i="1"/>
  <c r="T87" i="1"/>
  <c r="R87" i="1"/>
  <c r="P87" i="1"/>
  <c r="N87" i="1"/>
  <c r="L87" i="1"/>
  <c r="J87" i="1"/>
  <c r="H87" i="1"/>
  <c r="F87" i="1" s="1"/>
  <c r="D87" i="1"/>
  <c r="V86" i="1"/>
  <c r="P86" i="1"/>
  <c r="N86" i="1"/>
  <c r="L86" i="1"/>
  <c r="J86" i="1"/>
  <c r="F86" i="1"/>
  <c r="D86" i="1"/>
  <c r="AF85" i="1"/>
  <c r="Z85" i="1" s="1"/>
  <c r="AB85" i="1"/>
  <c r="X85" i="1"/>
  <c r="V85" i="1"/>
  <c r="T85" i="1"/>
  <c r="P85" i="1"/>
  <c r="L85" i="1"/>
  <c r="H85" i="1"/>
  <c r="D85" i="1"/>
  <c r="AF84" i="1"/>
  <c r="AD84" i="1"/>
  <c r="AB84" i="1"/>
  <c r="Z84" i="1"/>
  <c r="X84" i="1"/>
  <c r="V84" i="1"/>
  <c r="T84" i="1"/>
  <c r="R84" i="1"/>
  <c r="P84" i="1"/>
  <c r="N84" i="1"/>
  <c r="L84" i="1"/>
  <c r="J84" i="1"/>
  <c r="F84" i="1" s="1"/>
  <c r="H84" i="1"/>
  <c r="D84" i="1"/>
  <c r="AF83" i="1"/>
  <c r="P83" i="1" s="1"/>
  <c r="V83" i="1"/>
  <c r="H83" i="1"/>
  <c r="D83" i="1"/>
  <c r="AF82" i="1"/>
  <c r="AB82" i="1" s="1"/>
  <c r="AD82" i="1"/>
  <c r="Z82" i="1"/>
  <c r="X82" i="1"/>
  <c r="V82" i="1"/>
  <c r="R82" i="1"/>
  <c r="P82" i="1"/>
  <c r="N82" i="1"/>
  <c r="J82" i="1"/>
  <c r="H82" i="1"/>
  <c r="D82" i="1"/>
  <c r="AF81" i="1"/>
  <c r="Z81" i="1" s="1"/>
  <c r="AB81" i="1"/>
  <c r="X81" i="1"/>
  <c r="V81" i="1"/>
  <c r="T81" i="1"/>
  <c r="P81" i="1"/>
  <c r="L81" i="1"/>
  <c r="H81" i="1"/>
  <c r="D81" i="1"/>
  <c r="AF80" i="1"/>
  <c r="AD80" i="1"/>
  <c r="AB80" i="1"/>
  <c r="Z80" i="1"/>
  <c r="X80" i="1"/>
  <c r="V80" i="1"/>
  <c r="T80" i="1"/>
  <c r="R80" i="1"/>
  <c r="P80" i="1"/>
  <c r="N80" i="1"/>
  <c r="L80" i="1"/>
  <c r="J80" i="1"/>
  <c r="F80" i="1" s="1"/>
  <c r="H80" i="1"/>
  <c r="D80" i="1"/>
  <c r="AF79" i="1"/>
  <c r="X79" i="1"/>
  <c r="V79" i="1"/>
  <c r="P79" i="1"/>
  <c r="H79" i="1"/>
  <c r="D79" i="1"/>
  <c r="AF78" i="1"/>
  <c r="AB78" i="1" s="1"/>
  <c r="AD78" i="1"/>
  <c r="Z78" i="1"/>
  <c r="X78" i="1"/>
  <c r="V78" i="1"/>
  <c r="V77" i="1" s="1"/>
  <c r="R78" i="1"/>
  <c r="P78" i="1"/>
  <c r="N78" i="1"/>
  <c r="J78" i="1"/>
  <c r="H78" i="1"/>
  <c r="D78" i="1"/>
  <c r="F76" i="1"/>
  <c r="F75" i="1" s="1"/>
  <c r="D76" i="1"/>
  <c r="AD75" i="1"/>
  <c r="AB75" i="1"/>
  <c r="Z75" i="1"/>
  <c r="X75" i="1"/>
  <c r="V75" i="1"/>
  <c r="T75" i="1"/>
  <c r="R75" i="1"/>
  <c r="P75" i="1"/>
  <c r="N75" i="1"/>
  <c r="L75" i="1"/>
  <c r="J75" i="1"/>
  <c r="H75" i="1"/>
  <c r="F74" i="1"/>
  <c r="D74" i="1"/>
  <c r="AD73" i="1"/>
  <c r="AB73" i="1"/>
  <c r="Z73" i="1"/>
  <c r="X73" i="1"/>
  <c r="V73" i="1"/>
  <c r="T73" i="1"/>
  <c r="R73" i="1"/>
  <c r="P73" i="1"/>
  <c r="N73" i="1"/>
  <c r="L73" i="1"/>
  <c r="J73" i="1"/>
  <c r="H73" i="1"/>
  <c r="F73" i="1"/>
  <c r="AD72" i="1"/>
  <c r="AB72" i="1"/>
  <c r="Z72" i="1"/>
  <c r="X72" i="1"/>
  <c r="V72" i="1"/>
  <c r="T72" i="1"/>
  <c r="R72" i="1"/>
  <c r="P72" i="1"/>
  <c r="N72" i="1"/>
  <c r="L72" i="1"/>
  <c r="J72" i="1"/>
  <c r="H72" i="1"/>
  <c r="F72" i="1" s="1"/>
  <c r="D72" i="1"/>
  <c r="AF71" i="1"/>
  <c r="AD71" i="1"/>
  <c r="AB71" i="1"/>
  <c r="Z71" i="1"/>
  <c r="X71" i="1"/>
  <c r="V71" i="1"/>
  <c r="T71" i="1"/>
  <c r="R71" i="1"/>
  <c r="P71" i="1"/>
  <c r="N71" i="1"/>
  <c r="L71" i="1"/>
  <c r="J71" i="1"/>
  <c r="H71" i="1"/>
  <c r="F71" i="1"/>
  <c r="D71" i="1"/>
  <c r="AF70" i="1"/>
  <c r="Z70" i="1" s="1"/>
  <c r="AB70" i="1"/>
  <c r="X70" i="1"/>
  <c r="T70" i="1"/>
  <c r="P70" i="1"/>
  <c r="L70" i="1"/>
  <c r="H70" i="1"/>
  <c r="D70" i="1"/>
  <c r="AF69" i="1"/>
  <c r="AB69" i="1" s="1"/>
  <c r="AD69" i="1"/>
  <c r="Z69" i="1"/>
  <c r="X69" i="1"/>
  <c r="V69" i="1"/>
  <c r="R69" i="1"/>
  <c r="P69" i="1"/>
  <c r="N69" i="1"/>
  <c r="L69" i="1"/>
  <c r="J69" i="1"/>
  <c r="H69" i="1"/>
  <c r="D69" i="1"/>
  <c r="AF68" i="1"/>
  <c r="X68" i="1"/>
  <c r="H68" i="1"/>
  <c r="D68" i="1"/>
  <c r="AF67" i="1"/>
  <c r="AB67" i="1" s="1"/>
  <c r="AD67" i="1"/>
  <c r="Z67" i="1"/>
  <c r="X67" i="1"/>
  <c r="V67" i="1"/>
  <c r="T67" i="1"/>
  <c r="R67" i="1"/>
  <c r="P67" i="1"/>
  <c r="N67" i="1"/>
  <c r="F67" i="1" s="1"/>
  <c r="L67" i="1"/>
  <c r="J67" i="1"/>
  <c r="H67" i="1"/>
  <c r="D67" i="1"/>
  <c r="AF66" i="1"/>
  <c r="AB66" i="1" s="1"/>
  <c r="X66" i="1"/>
  <c r="P66" i="1"/>
  <c r="H66" i="1"/>
  <c r="D66" i="1"/>
  <c r="AF65" i="1"/>
  <c r="AB65" i="1" s="1"/>
  <c r="AD65" i="1"/>
  <c r="Z65" i="1"/>
  <c r="X65" i="1"/>
  <c r="V65" i="1"/>
  <c r="T65" i="1"/>
  <c r="R65" i="1"/>
  <c r="P65" i="1"/>
  <c r="N65" i="1"/>
  <c r="L65" i="1"/>
  <c r="J65" i="1"/>
  <c r="F65" i="1" s="1"/>
  <c r="H65" i="1"/>
  <c r="D65" i="1"/>
  <c r="AF64" i="1"/>
  <c r="X64" i="1" s="1"/>
  <c r="P64" i="1"/>
  <c r="D64" i="1"/>
  <c r="AF63" i="1"/>
  <c r="AB63" i="1" s="1"/>
  <c r="AD63" i="1"/>
  <c r="Z63" i="1"/>
  <c r="X63" i="1"/>
  <c r="V63" i="1"/>
  <c r="R63" i="1"/>
  <c r="P63" i="1"/>
  <c r="N63" i="1"/>
  <c r="L63" i="1"/>
  <c r="J63" i="1"/>
  <c r="H63" i="1"/>
  <c r="D63" i="1"/>
  <c r="AF62" i="1"/>
  <c r="AB62" i="1"/>
  <c r="X62" i="1"/>
  <c r="T62" i="1"/>
  <c r="P62" i="1"/>
  <c r="L62" i="1"/>
  <c r="H62" i="1"/>
  <c r="D62" i="1"/>
  <c r="AF61" i="1"/>
  <c r="AD61" i="1"/>
  <c r="AB61" i="1"/>
  <c r="Z61" i="1"/>
  <c r="X61" i="1"/>
  <c r="V61" i="1"/>
  <c r="T61" i="1"/>
  <c r="R61" i="1"/>
  <c r="P61" i="1"/>
  <c r="N61" i="1"/>
  <c r="L61" i="1"/>
  <c r="J61" i="1"/>
  <c r="F61" i="1" s="1"/>
  <c r="H61" i="1"/>
  <c r="D61" i="1"/>
  <c r="AF60" i="1"/>
  <c r="T60" i="1" s="1"/>
  <c r="R60" i="1"/>
  <c r="H60" i="1"/>
  <c r="D60" i="1"/>
  <c r="AF59" i="1"/>
  <c r="Z59" i="1" s="1"/>
  <c r="AB59" i="1"/>
  <c r="X59" i="1"/>
  <c r="T59" i="1"/>
  <c r="P59" i="1"/>
  <c r="L59" i="1"/>
  <c r="H59" i="1"/>
  <c r="D59" i="1"/>
  <c r="AF58" i="1"/>
  <c r="AD58" i="1"/>
  <c r="AB58" i="1"/>
  <c r="Z58" i="1"/>
  <c r="X58" i="1"/>
  <c r="V58" i="1"/>
  <c r="T58" i="1"/>
  <c r="R58" i="1"/>
  <c r="P58" i="1"/>
  <c r="N58" i="1"/>
  <c r="L58" i="1"/>
  <c r="J58" i="1"/>
  <c r="F58" i="1" s="1"/>
  <c r="H58" i="1"/>
  <c r="D58" i="1"/>
  <c r="AF57" i="1"/>
  <c r="AD57" i="1" s="1"/>
  <c r="X57" i="1"/>
  <c r="P57" i="1"/>
  <c r="H57" i="1"/>
  <c r="D57" i="1"/>
  <c r="AF56" i="1"/>
  <c r="AB56" i="1" s="1"/>
  <c r="AD56" i="1"/>
  <c r="Z56" i="1"/>
  <c r="X56" i="1"/>
  <c r="V56" i="1"/>
  <c r="R56" i="1"/>
  <c r="P56" i="1"/>
  <c r="N56" i="1"/>
  <c r="J56" i="1"/>
  <c r="H56" i="1"/>
  <c r="D56" i="1"/>
  <c r="AF55" i="1"/>
  <c r="Z55" i="1" s="1"/>
  <c r="AB55" i="1"/>
  <c r="X55" i="1"/>
  <c r="T55" i="1"/>
  <c r="P55" i="1"/>
  <c r="L55" i="1"/>
  <c r="H55" i="1"/>
  <c r="D55" i="1"/>
  <c r="AF54" i="1"/>
  <c r="AD54" i="1"/>
  <c r="AB54" i="1"/>
  <c r="Z54" i="1"/>
  <c r="X54" i="1"/>
  <c r="V54" i="1"/>
  <c r="T54" i="1"/>
  <c r="R54" i="1"/>
  <c r="P54" i="1"/>
  <c r="N54" i="1"/>
  <c r="L54" i="1"/>
  <c r="J54" i="1"/>
  <c r="F54" i="1" s="1"/>
  <c r="H54" i="1"/>
  <c r="D54" i="1"/>
  <c r="AF53" i="1"/>
  <c r="AD53" i="1" s="1"/>
  <c r="X53" i="1"/>
  <c r="P53" i="1"/>
  <c r="H53" i="1"/>
  <c r="D53" i="1"/>
  <c r="AF52" i="1"/>
  <c r="AB52" i="1" s="1"/>
  <c r="AD52" i="1"/>
  <c r="Z52" i="1"/>
  <c r="X52" i="1"/>
  <c r="V52" i="1"/>
  <c r="R52" i="1"/>
  <c r="P52" i="1"/>
  <c r="N52" i="1"/>
  <c r="J52" i="1"/>
  <c r="H52" i="1"/>
  <c r="D52" i="1"/>
  <c r="AF51" i="1"/>
  <c r="Z51" i="1" s="1"/>
  <c r="AB51" i="1"/>
  <c r="X51" i="1"/>
  <c r="T51" i="1"/>
  <c r="P51" i="1"/>
  <c r="L51" i="1"/>
  <c r="H51" i="1"/>
  <c r="D51" i="1"/>
  <c r="AF50" i="1"/>
  <c r="AD50" i="1"/>
  <c r="AB50" i="1"/>
  <c r="Z50" i="1"/>
  <c r="X50" i="1"/>
  <c r="V50" i="1"/>
  <c r="T50" i="1"/>
  <c r="R50" i="1"/>
  <c r="P50" i="1"/>
  <c r="N50" i="1"/>
  <c r="L50" i="1"/>
  <c r="J50" i="1"/>
  <c r="F50" i="1" s="1"/>
  <c r="H50" i="1"/>
  <c r="D50" i="1"/>
  <c r="AF49" i="1"/>
  <c r="AD49" i="1" s="1"/>
  <c r="P49" i="1"/>
  <c r="H49" i="1"/>
  <c r="D49" i="1"/>
  <c r="AF48" i="1"/>
  <c r="AB48" i="1" s="1"/>
  <c r="AD48" i="1"/>
  <c r="Z48" i="1"/>
  <c r="X48" i="1"/>
  <c r="V48" i="1"/>
  <c r="R48" i="1"/>
  <c r="P48" i="1"/>
  <c r="N48" i="1"/>
  <c r="J48" i="1"/>
  <c r="H48" i="1"/>
  <c r="D48" i="1"/>
  <c r="AF47" i="1"/>
  <c r="Z47" i="1" s="1"/>
  <c r="AB47" i="1"/>
  <c r="X47" i="1"/>
  <c r="T47" i="1"/>
  <c r="P47" i="1"/>
  <c r="L47" i="1"/>
  <c r="H47" i="1"/>
  <c r="D47" i="1"/>
  <c r="AF46" i="1"/>
  <c r="AD46" i="1"/>
  <c r="AB46" i="1"/>
  <c r="Z46" i="1"/>
  <c r="X46" i="1"/>
  <c r="V46" i="1"/>
  <c r="T46" i="1"/>
  <c r="R46" i="1"/>
  <c r="P46" i="1"/>
  <c r="N46" i="1"/>
  <c r="L46" i="1"/>
  <c r="J46" i="1"/>
  <c r="F46" i="1" s="1"/>
  <c r="H46" i="1"/>
  <c r="D46" i="1"/>
  <c r="AF45" i="1"/>
  <c r="AD45" i="1" s="1"/>
  <c r="X45" i="1"/>
  <c r="P45" i="1"/>
  <c r="H45" i="1"/>
  <c r="D45" i="1"/>
  <c r="AF44" i="1"/>
  <c r="AB44" i="1" s="1"/>
  <c r="AD44" i="1"/>
  <c r="Z44" i="1"/>
  <c r="X44" i="1"/>
  <c r="V44" i="1"/>
  <c r="R44" i="1"/>
  <c r="P44" i="1"/>
  <c r="N44" i="1"/>
  <c r="J44" i="1"/>
  <c r="H44" i="1"/>
  <c r="D44" i="1"/>
  <c r="AF43" i="1"/>
  <c r="Z43" i="1" s="1"/>
  <c r="AB43" i="1"/>
  <c r="X43" i="1"/>
  <c r="T43" i="1"/>
  <c r="P43" i="1"/>
  <c r="L43" i="1"/>
  <c r="H43" i="1"/>
  <c r="D43" i="1"/>
  <c r="AF42" i="1"/>
  <c r="AD42" i="1"/>
  <c r="AB42" i="1"/>
  <c r="Z42" i="1"/>
  <c r="X42" i="1"/>
  <c r="V42" i="1"/>
  <c r="T42" i="1"/>
  <c r="R42" i="1"/>
  <c r="P42" i="1"/>
  <c r="N42" i="1"/>
  <c r="L42" i="1"/>
  <c r="J42" i="1"/>
  <c r="F42" i="1" s="1"/>
  <c r="H42" i="1"/>
  <c r="D42" i="1"/>
  <c r="AF41" i="1"/>
  <c r="AD41" i="1" s="1"/>
  <c r="X41" i="1"/>
  <c r="P41" i="1"/>
  <c r="H41" i="1"/>
  <c r="D41" i="1"/>
  <c r="AF40" i="1"/>
  <c r="AB40" i="1" s="1"/>
  <c r="AD40" i="1"/>
  <c r="Z40" i="1"/>
  <c r="X40" i="1"/>
  <c r="V40" i="1"/>
  <c r="R40" i="1"/>
  <c r="P40" i="1"/>
  <c r="N40" i="1"/>
  <c r="J40" i="1"/>
  <c r="H40" i="1"/>
  <c r="D40" i="1"/>
  <c r="AF39" i="1"/>
  <c r="Z39" i="1" s="1"/>
  <c r="AB39" i="1"/>
  <c r="X39" i="1"/>
  <c r="T39" i="1"/>
  <c r="P39" i="1"/>
  <c r="L39" i="1"/>
  <c r="H39" i="1"/>
  <c r="D39" i="1"/>
  <c r="AF38" i="1"/>
  <c r="AD38" i="1"/>
  <c r="AB38" i="1"/>
  <c r="Z38" i="1"/>
  <c r="X38" i="1"/>
  <c r="V38" i="1"/>
  <c r="T38" i="1"/>
  <c r="R38" i="1"/>
  <c r="P38" i="1"/>
  <c r="N38" i="1"/>
  <c r="L38" i="1"/>
  <c r="J38" i="1"/>
  <c r="F38" i="1" s="1"/>
  <c r="H38" i="1"/>
  <c r="D38" i="1"/>
  <c r="AF37" i="1"/>
  <c r="AD37" i="1" s="1"/>
  <c r="X37" i="1"/>
  <c r="P37" i="1"/>
  <c r="H37" i="1"/>
  <c r="D37" i="1"/>
  <c r="AF36" i="1"/>
  <c r="AB36" i="1" s="1"/>
  <c r="AD36" i="1"/>
  <c r="Z36" i="1"/>
  <c r="X36" i="1"/>
  <c r="V36" i="1"/>
  <c r="R36" i="1"/>
  <c r="P36" i="1"/>
  <c r="N36" i="1"/>
  <c r="J36" i="1"/>
  <c r="H36" i="1"/>
  <c r="D36" i="1"/>
  <c r="AF35" i="1"/>
  <c r="Z35" i="1" s="1"/>
  <c r="AB35" i="1"/>
  <c r="X35" i="1"/>
  <c r="T35" i="1"/>
  <c r="P35" i="1"/>
  <c r="L35" i="1"/>
  <c r="H35" i="1"/>
  <c r="D35" i="1"/>
  <c r="AF34" i="1"/>
  <c r="AD34" i="1"/>
  <c r="AB34" i="1"/>
  <c r="Z34" i="1"/>
  <c r="X34" i="1"/>
  <c r="V34" i="1"/>
  <c r="T34" i="1"/>
  <c r="R34" i="1"/>
  <c r="P34" i="1"/>
  <c r="N34" i="1"/>
  <c r="L34" i="1"/>
  <c r="J34" i="1"/>
  <c r="F34" i="1" s="1"/>
  <c r="H34" i="1"/>
  <c r="D34" i="1"/>
  <c r="AF33" i="1"/>
  <c r="AD33" i="1" s="1"/>
  <c r="X33" i="1"/>
  <c r="P33" i="1"/>
  <c r="H33" i="1"/>
  <c r="D33" i="1"/>
  <c r="AF32" i="1"/>
  <c r="AB32" i="1" s="1"/>
  <c r="AD32" i="1"/>
  <c r="Z32" i="1"/>
  <c r="X32" i="1"/>
  <c r="V32" i="1"/>
  <c r="R32" i="1"/>
  <c r="P32" i="1"/>
  <c r="N32" i="1"/>
  <c r="J32" i="1"/>
  <c r="H32" i="1"/>
  <c r="D32" i="1"/>
  <c r="AF31" i="1"/>
  <c r="Z31" i="1" s="1"/>
  <c r="AB31" i="1"/>
  <c r="X31" i="1"/>
  <c r="T31" i="1"/>
  <c r="P31" i="1"/>
  <c r="L31" i="1"/>
  <c r="H31" i="1"/>
  <c r="D31" i="1"/>
  <c r="AF30" i="1"/>
  <c r="AD30" i="1"/>
  <c r="AB30" i="1"/>
  <c r="Z30" i="1"/>
  <c r="X30" i="1"/>
  <c r="V30" i="1"/>
  <c r="T30" i="1"/>
  <c r="R30" i="1"/>
  <c r="P30" i="1"/>
  <c r="N30" i="1"/>
  <c r="L30" i="1"/>
  <c r="J30" i="1"/>
  <c r="F30" i="1" s="1"/>
  <c r="H30" i="1"/>
  <c r="D30" i="1"/>
  <c r="AF29" i="1"/>
  <c r="AD29" i="1" s="1"/>
  <c r="X29" i="1"/>
  <c r="P29" i="1"/>
  <c r="H29" i="1"/>
  <c r="D29" i="1"/>
  <c r="AF28" i="1"/>
  <c r="AB28" i="1" s="1"/>
  <c r="AD28" i="1"/>
  <c r="Z28" i="1"/>
  <c r="X28" i="1"/>
  <c r="V28" i="1"/>
  <c r="R28" i="1"/>
  <c r="P28" i="1"/>
  <c r="N28" i="1"/>
  <c r="J28" i="1"/>
  <c r="H28" i="1"/>
  <c r="D28" i="1"/>
  <c r="AF27" i="1"/>
  <c r="Z27" i="1" s="1"/>
  <c r="AB27" i="1"/>
  <c r="X27" i="1"/>
  <c r="T27" i="1"/>
  <c r="P27" i="1"/>
  <c r="L27" i="1"/>
  <c r="H27" i="1"/>
  <c r="D27" i="1"/>
  <c r="AF26" i="1"/>
  <c r="AD26" i="1"/>
  <c r="AB26" i="1"/>
  <c r="Z26" i="1"/>
  <c r="X26" i="1"/>
  <c r="V26" i="1"/>
  <c r="T26" i="1"/>
  <c r="R26" i="1"/>
  <c r="P26" i="1"/>
  <c r="N26" i="1"/>
  <c r="L26" i="1"/>
  <c r="J26" i="1"/>
  <c r="F26" i="1" s="1"/>
  <c r="H26" i="1"/>
  <c r="D26" i="1"/>
  <c r="AF25" i="1"/>
  <c r="AD25" i="1" s="1"/>
  <c r="X25" i="1"/>
  <c r="P25" i="1"/>
  <c r="H25" i="1"/>
  <c r="D25" i="1"/>
  <c r="AF24" i="1"/>
  <c r="AB24" i="1" s="1"/>
  <c r="AD24" i="1"/>
  <c r="Z24" i="1"/>
  <c r="X24" i="1"/>
  <c r="V24" i="1"/>
  <c r="R24" i="1"/>
  <c r="P24" i="1"/>
  <c r="N24" i="1"/>
  <c r="J24" i="1"/>
  <c r="H24" i="1"/>
  <c r="D24" i="1"/>
  <c r="AF23" i="1"/>
  <c r="Z23" i="1" s="1"/>
  <c r="AB23" i="1"/>
  <c r="X23" i="1"/>
  <c r="T23" i="1"/>
  <c r="P23" i="1"/>
  <c r="L23" i="1"/>
  <c r="H23" i="1"/>
  <c r="D23" i="1"/>
  <c r="AF22" i="1"/>
  <c r="AD22" i="1"/>
  <c r="AB22" i="1"/>
  <c r="Z22" i="1"/>
  <c r="X22" i="1"/>
  <c r="V22" i="1"/>
  <c r="T22" i="1"/>
  <c r="R22" i="1"/>
  <c r="P22" i="1"/>
  <c r="N22" i="1"/>
  <c r="L22" i="1"/>
  <c r="J22" i="1"/>
  <c r="F22" i="1" s="1"/>
  <c r="H22" i="1"/>
  <c r="D22" i="1"/>
  <c r="AF21" i="1"/>
  <c r="AD21" i="1" s="1"/>
  <c r="X21" i="1"/>
  <c r="P21" i="1"/>
  <c r="H21" i="1"/>
  <c r="D21" i="1"/>
  <c r="AF20" i="1"/>
  <c r="AB20" i="1" s="1"/>
  <c r="AD20" i="1"/>
  <c r="Z20" i="1"/>
  <c r="X20" i="1"/>
  <c r="V20" i="1"/>
  <c r="R20" i="1"/>
  <c r="P20" i="1"/>
  <c r="N20" i="1"/>
  <c r="J20" i="1"/>
  <c r="H20" i="1"/>
  <c r="D20" i="1"/>
  <c r="AD19" i="1"/>
  <c r="AB19" i="1"/>
  <c r="Z19" i="1"/>
  <c r="X19" i="1"/>
  <c r="V19" i="1"/>
  <c r="T19" i="1"/>
  <c r="R19" i="1"/>
  <c r="P19" i="1"/>
  <c r="N19" i="1"/>
  <c r="L19" i="1"/>
  <c r="J19" i="1"/>
  <c r="F19" i="1" s="1"/>
  <c r="H19" i="1"/>
  <c r="D19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D18" i="1"/>
  <c r="AF17" i="1"/>
  <c r="Z17" i="1" s="1"/>
  <c r="AB17" i="1"/>
  <c r="X17" i="1"/>
  <c r="T17" i="1"/>
  <c r="P17" i="1"/>
  <c r="L17" i="1"/>
  <c r="H17" i="1"/>
  <c r="D17" i="1"/>
  <c r="AD16" i="1"/>
  <c r="AB16" i="1"/>
  <c r="Z16" i="1"/>
  <c r="X16" i="1"/>
  <c r="V16" i="1"/>
  <c r="T16" i="1"/>
  <c r="R16" i="1"/>
  <c r="P16" i="1"/>
  <c r="N16" i="1"/>
  <c r="L16" i="1"/>
  <c r="J16" i="1"/>
  <c r="H16" i="1"/>
  <c r="F16" i="1" s="1"/>
  <c r="D16" i="1"/>
  <c r="AF15" i="1"/>
  <c r="AB15" i="1" s="1"/>
  <c r="AD15" i="1"/>
  <c r="Z15" i="1"/>
  <c r="X15" i="1"/>
  <c r="V15" i="1"/>
  <c r="R15" i="1"/>
  <c r="P15" i="1"/>
  <c r="N15" i="1"/>
  <c r="J15" i="1"/>
  <c r="H15" i="1"/>
  <c r="D15" i="1"/>
  <c r="AF14" i="1"/>
  <c r="Z14" i="1" s="1"/>
  <c r="AB14" i="1"/>
  <c r="X14" i="1"/>
  <c r="T14" i="1"/>
  <c r="P14" i="1"/>
  <c r="L14" i="1"/>
  <c r="H14" i="1"/>
  <c r="D14" i="1"/>
  <c r="AF13" i="1"/>
  <c r="AD13" i="1"/>
  <c r="AB13" i="1"/>
  <c r="Z13" i="1"/>
  <c r="X13" i="1"/>
  <c r="V13" i="1"/>
  <c r="T13" i="1"/>
  <c r="R13" i="1"/>
  <c r="P13" i="1"/>
  <c r="N13" i="1"/>
  <c r="L13" i="1"/>
  <c r="J13" i="1"/>
  <c r="F13" i="1" s="1"/>
  <c r="H13" i="1"/>
  <c r="D13" i="1"/>
  <c r="AF12" i="1"/>
  <c r="AD12" i="1" s="1"/>
  <c r="X12" i="1"/>
  <c r="P12" i="1"/>
  <c r="H12" i="1"/>
  <c r="D12" i="1"/>
  <c r="AF11" i="1"/>
  <c r="AB11" i="1" s="1"/>
  <c r="AD11" i="1"/>
  <c r="Z11" i="1"/>
  <c r="X11" i="1"/>
  <c r="V11" i="1"/>
  <c r="R11" i="1"/>
  <c r="P11" i="1"/>
  <c r="N11" i="1"/>
  <c r="J11" i="1"/>
  <c r="H11" i="1"/>
  <c r="D11" i="1"/>
  <c r="AF10" i="1"/>
  <c r="Z10" i="1" s="1"/>
  <c r="AB10" i="1"/>
  <c r="X10" i="1"/>
  <c r="T10" i="1"/>
  <c r="P10" i="1"/>
  <c r="L10" i="1"/>
  <c r="H10" i="1"/>
  <c r="D10" i="1"/>
  <c r="AF9" i="1"/>
  <c r="AD9" i="1"/>
  <c r="AB9" i="1"/>
  <c r="Z9" i="1"/>
  <c r="X9" i="1"/>
  <c r="V9" i="1"/>
  <c r="T9" i="1"/>
  <c r="R9" i="1"/>
  <c r="P9" i="1"/>
  <c r="N9" i="1"/>
  <c r="L9" i="1"/>
  <c r="J9" i="1"/>
  <c r="F9" i="1" s="1"/>
  <c r="H9" i="1"/>
  <c r="D9" i="1"/>
  <c r="F51" i="1" l="1"/>
  <c r="AD95" i="1"/>
  <c r="V95" i="1"/>
  <c r="N95" i="1"/>
  <c r="AB95" i="1"/>
  <c r="T95" i="1"/>
  <c r="L95" i="1"/>
  <c r="Z95" i="1"/>
  <c r="R95" i="1"/>
  <c r="J95" i="1"/>
  <c r="N10" i="1"/>
  <c r="V10" i="1"/>
  <c r="AD10" i="1"/>
  <c r="J12" i="1"/>
  <c r="F12" i="1" s="1"/>
  <c r="R12" i="1"/>
  <c r="Z12" i="1"/>
  <c r="Z8" i="1" s="1"/>
  <c r="N14" i="1"/>
  <c r="V14" i="1"/>
  <c r="AD14" i="1"/>
  <c r="N17" i="1"/>
  <c r="V17" i="1"/>
  <c r="AD17" i="1"/>
  <c r="J21" i="1"/>
  <c r="F21" i="1" s="1"/>
  <c r="R21" i="1"/>
  <c r="Z21" i="1"/>
  <c r="N23" i="1"/>
  <c r="V23" i="1"/>
  <c r="AD23" i="1"/>
  <c r="J25" i="1"/>
  <c r="R25" i="1"/>
  <c r="Z25" i="1"/>
  <c r="N27" i="1"/>
  <c r="V27" i="1"/>
  <c r="AD27" i="1"/>
  <c r="J29" i="1"/>
  <c r="F29" i="1" s="1"/>
  <c r="R29" i="1"/>
  <c r="Z29" i="1"/>
  <c r="N31" i="1"/>
  <c r="V31" i="1"/>
  <c r="AD31" i="1"/>
  <c r="J33" i="1"/>
  <c r="F33" i="1" s="1"/>
  <c r="R33" i="1"/>
  <c r="Z33" i="1"/>
  <c r="N35" i="1"/>
  <c r="V35" i="1"/>
  <c r="AD35" i="1"/>
  <c r="J37" i="1"/>
  <c r="F37" i="1" s="1"/>
  <c r="R37" i="1"/>
  <c r="Z37" i="1"/>
  <c r="N39" i="1"/>
  <c r="V39" i="1"/>
  <c r="AD39" i="1"/>
  <c r="J41" i="1"/>
  <c r="F41" i="1" s="1"/>
  <c r="R41" i="1"/>
  <c r="Z41" i="1"/>
  <c r="N43" i="1"/>
  <c r="V43" i="1"/>
  <c r="AD43" i="1"/>
  <c r="J45" i="1"/>
  <c r="F45" i="1" s="1"/>
  <c r="R45" i="1"/>
  <c r="Z45" i="1"/>
  <c r="N47" i="1"/>
  <c r="V47" i="1"/>
  <c r="AD47" i="1"/>
  <c r="J49" i="1"/>
  <c r="F49" i="1" s="1"/>
  <c r="R49" i="1"/>
  <c r="Z49" i="1"/>
  <c r="N51" i="1"/>
  <c r="V51" i="1"/>
  <c r="AD51" i="1"/>
  <c r="J53" i="1"/>
  <c r="F53" i="1" s="1"/>
  <c r="R53" i="1"/>
  <c r="Z53" i="1"/>
  <c r="N55" i="1"/>
  <c r="V55" i="1"/>
  <c r="AD55" i="1"/>
  <c r="J57" i="1"/>
  <c r="R57" i="1"/>
  <c r="Z57" i="1"/>
  <c r="N59" i="1"/>
  <c r="V59" i="1"/>
  <c r="AD59" i="1"/>
  <c r="J60" i="1"/>
  <c r="F60" i="1" s="1"/>
  <c r="T64" i="1"/>
  <c r="L66" i="1"/>
  <c r="AD68" i="1"/>
  <c r="V68" i="1"/>
  <c r="N68" i="1"/>
  <c r="AB68" i="1"/>
  <c r="T68" i="1"/>
  <c r="L68" i="1"/>
  <c r="Z68" i="1"/>
  <c r="R68" i="1"/>
  <c r="J68" i="1"/>
  <c r="H95" i="1"/>
  <c r="AD107" i="1"/>
  <c r="V107" i="1"/>
  <c r="N107" i="1"/>
  <c r="AB107" i="1"/>
  <c r="T107" i="1"/>
  <c r="L107" i="1"/>
  <c r="Z107" i="1"/>
  <c r="R107" i="1"/>
  <c r="J107" i="1"/>
  <c r="X49" i="1"/>
  <c r="X8" i="1" s="1"/>
  <c r="AD60" i="1"/>
  <c r="V60" i="1"/>
  <c r="N60" i="1"/>
  <c r="Z60" i="1"/>
  <c r="P77" i="1"/>
  <c r="AD115" i="1"/>
  <c r="V115" i="1"/>
  <c r="N115" i="1"/>
  <c r="Z115" i="1"/>
  <c r="R115" i="1"/>
  <c r="J115" i="1"/>
  <c r="AB115" i="1"/>
  <c r="L115" i="1"/>
  <c r="X115" i="1"/>
  <c r="H115" i="1"/>
  <c r="T115" i="1"/>
  <c r="T92" i="1" s="1"/>
  <c r="L12" i="1"/>
  <c r="T12" i="1"/>
  <c r="AB12" i="1"/>
  <c r="AB8" i="1" s="1"/>
  <c r="L21" i="1"/>
  <c r="T21" i="1"/>
  <c r="AB21" i="1"/>
  <c r="L25" i="1"/>
  <c r="F25" i="1" s="1"/>
  <c r="T25" i="1"/>
  <c r="AB25" i="1"/>
  <c r="L29" i="1"/>
  <c r="T29" i="1"/>
  <c r="AB29" i="1"/>
  <c r="L33" i="1"/>
  <c r="T33" i="1"/>
  <c r="AB33" i="1"/>
  <c r="L37" i="1"/>
  <c r="T37" i="1"/>
  <c r="AB37" i="1"/>
  <c r="L41" i="1"/>
  <c r="T41" i="1"/>
  <c r="AB41" i="1"/>
  <c r="L45" i="1"/>
  <c r="T45" i="1"/>
  <c r="AB45" i="1"/>
  <c r="L49" i="1"/>
  <c r="T49" i="1"/>
  <c r="AB49" i="1"/>
  <c r="L53" i="1"/>
  <c r="T53" i="1"/>
  <c r="AB53" i="1"/>
  <c r="L57" i="1"/>
  <c r="F57" i="1" s="1"/>
  <c r="T57" i="1"/>
  <c r="AB57" i="1"/>
  <c r="L60" i="1"/>
  <c r="X60" i="1"/>
  <c r="H64" i="1"/>
  <c r="H8" i="1" s="1"/>
  <c r="Z66" i="1"/>
  <c r="R66" i="1"/>
  <c r="J66" i="1"/>
  <c r="AD66" i="1"/>
  <c r="V66" i="1"/>
  <c r="N66" i="1"/>
  <c r="F68" i="1"/>
  <c r="P95" i="1"/>
  <c r="AD103" i="1"/>
  <c r="V103" i="1"/>
  <c r="N103" i="1"/>
  <c r="AB103" i="1"/>
  <c r="T103" i="1"/>
  <c r="L103" i="1"/>
  <c r="Z103" i="1"/>
  <c r="R103" i="1"/>
  <c r="J103" i="1"/>
  <c r="H107" i="1"/>
  <c r="F107" i="1" s="1"/>
  <c r="Z113" i="1"/>
  <c r="R113" i="1"/>
  <c r="J113" i="1"/>
  <c r="AD113" i="1"/>
  <c r="T113" i="1"/>
  <c r="H113" i="1"/>
  <c r="AB113" i="1"/>
  <c r="P113" i="1"/>
  <c r="X113" i="1"/>
  <c r="N113" i="1"/>
  <c r="AD64" i="1"/>
  <c r="V64" i="1"/>
  <c r="N64" i="1"/>
  <c r="Z64" i="1"/>
  <c r="R64" i="1"/>
  <c r="J64" i="1"/>
  <c r="F66" i="1"/>
  <c r="AD83" i="1"/>
  <c r="N83" i="1"/>
  <c r="AB83" i="1"/>
  <c r="T83" i="1"/>
  <c r="L83" i="1"/>
  <c r="Z83" i="1"/>
  <c r="R83" i="1"/>
  <c r="J83" i="1"/>
  <c r="F83" i="1" s="1"/>
  <c r="J10" i="1"/>
  <c r="J8" i="1" s="1"/>
  <c r="R10" i="1"/>
  <c r="R8" i="1" s="1"/>
  <c r="L11" i="1"/>
  <c r="L8" i="1" s="1"/>
  <c r="T11" i="1"/>
  <c r="N12" i="1"/>
  <c r="V12" i="1"/>
  <c r="J14" i="1"/>
  <c r="F14" i="1" s="1"/>
  <c r="R14" i="1"/>
  <c r="L15" i="1"/>
  <c r="T15" i="1"/>
  <c r="T8" i="1" s="1"/>
  <c r="J17" i="1"/>
  <c r="F17" i="1" s="1"/>
  <c r="R17" i="1"/>
  <c r="L20" i="1"/>
  <c r="T20" i="1"/>
  <c r="N21" i="1"/>
  <c r="V21" i="1"/>
  <c r="J23" i="1"/>
  <c r="F23" i="1" s="1"/>
  <c r="R23" i="1"/>
  <c r="L24" i="1"/>
  <c r="T24" i="1"/>
  <c r="N25" i="1"/>
  <c r="V25" i="1"/>
  <c r="J27" i="1"/>
  <c r="F27" i="1" s="1"/>
  <c r="R27" i="1"/>
  <c r="L28" i="1"/>
  <c r="T28" i="1"/>
  <c r="N29" i="1"/>
  <c r="V29" i="1"/>
  <c r="J31" i="1"/>
  <c r="F31" i="1" s="1"/>
  <c r="R31" i="1"/>
  <c r="L32" i="1"/>
  <c r="T32" i="1"/>
  <c r="N33" i="1"/>
  <c r="V33" i="1"/>
  <c r="J35" i="1"/>
  <c r="F35" i="1" s="1"/>
  <c r="R35" i="1"/>
  <c r="L36" i="1"/>
  <c r="T36" i="1"/>
  <c r="N37" i="1"/>
  <c r="V37" i="1"/>
  <c r="J39" i="1"/>
  <c r="R39" i="1"/>
  <c r="F39" i="1" s="1"/>
  <c r="L40" i="1"/>
  <c r="T40" i="1"/>
  <c r="N41" i="1"/>
  <c r="V41" i="1"/>
  <c r="J43" i="1"/>
  <c r="F43" i="1" s="1"/>
  <c r="R43" i="1"/>
  <c r="L44" i="1"/>
  <c r="T44" i="1"/>
  <c r="N45" i="1"/>
  <c r="V45" i="1"/>
  <c r="J47" i="1"/>
  <c r="F47" i="1" s="1"/>
  <c r="R47" i="1"/>
  <c r="L48" i="1"/>
  <c r="T48" i="1"/>
  <c r="N49" i="1"/>
  <c r="V49" i="1"/>
  <c r="J51" i="1"/>
  <c r="R51" i="1"/>
  <c r="L52" i="1"/>
  <c r="T52" i="1"/>
  <c r="N53" i="1"/>
  <c r="V53" i="1"/>
  <c r="J55" i="1"/>
  <c r="R55" i="1"/>
  <c r="F55" i="1" s="1"/>
  <c r="L56" i="1"/>
  <c r="F56" i="1" s="1"/>
  <c r="T56" i="1"/>
  <c r="N57" i="1"/>
  <c r="V57" i="1"/>
  <c r="J59" i="1"/>
  <c r="F59" i="1" s="1"/>
  <c r="R59" i="1"/>
  <c r="P60" i="1"/>
  <c r="P8" i="1" s="1"/>
  <c r="AB60" i="1"/>
  <c r="Z62" i="1"/>
  <c r="R62" i="1"/>
  <c r="J62" i="1"/>
  <c r="F62" i="1" s="1"/>
  <c r="AD62" i="1"/>
  <c r="V62" i="1"/>
  <c r="N62" i="1"/>
  <c r="L64" i="1"/>
  <c r="AB64" i="1"/>
  <c r="T66" i="1"/>
  <c r="P68" i="1"/>
  <c r="H77" i="1"/>
  <c r="AD79" i="1"/>
  <c r="AD77" i="1" s="1"/>
  <c r="N79" i="1"/>
  <c r="N77" i="1" s="1"/>
  <c r="AB79" i="1"/>
  <c r="AB77" i="1" s="1"/>
  <c r="T79" i="1"/>
  <c r="L79" i="1"/>
  <c r="Z79" i="1"/>
  <c r="R79" i="1"/>
  <c r="R77" i="1" s="1"/>
  <c r="J79" i="1"/>
  <c r="X83" i="1"/>
  <c r="X77" i="1" s="1"/>
  <c r="X95" i="1"/>
  <c r="X92" i="1" s="1"/>
  <c r="AD99" i="1"/>
  <c r="V99" i="1"/>
  <c r="N99" i="1"/>
  <c r="AB99" i="1"/>
  <c r="T99" i="1"/>
  <c r="L99" i="1"/>
  <c r="Z99" i="1"/>
  <c r="Z92" i="1" s="1"/>
  <c r="R99" i="1"/>
  <c r="J99" i="1"/>
  <c r="F99" i="1" s="1"/>
  <c r="F103" i="1"/>
  <c r="P107" i="1"/>
  <c r="P115" i="1"/>
  <c r="T69" i="1"/>
  <c r="F69" i="1" s="1"/>
  <c r="N70" i="1"/>
  <c r="V70" i="1"/>
  <c r="AD70" i="1"/>
  <c r="N81" i="1"/>
  <c r="AD81" i="1"/>
  <c r="N85" i="1"/>
  <c r="AD85" i="1"/>
  <c r="N93" i="1"/>
  <c r="V93" i="1"/>
  <c r="AD93" i="1"/>
  <c r="N97" i="1"/>
  <c r="V97" i="1"/>
  <c r="AD97" i="1"/>
  <c r="N101" i="1"/>
  <c r="V101" i="1"/>
  <c r="AD101" i="1"/>
  <c r="N105" i="1"/>
  <c r="V105" i="1"/>
  <c r="AD105" i="1"/>
  <c r="N109" i="1"/>
  <c r="V109" i="1"/>
  <c r="AD109" i="1"/>
  <c r="AD111" i="1"/>
  <c r="V111" i="1"/>
  <c r="N111" i="1"/>
  <c r="F111" i="1" s="1"/>
  <c r="L121" i="1"/>
  <c r="F132" i="1"/>
  <c r="F131" i="1" s="1"/>
  <c r="F130" i="1" s="1"/>
  <c r="H131" i="1"/>
  <c r="H130" i="1" s="1"/>
  <c r="Z121" i="1"/>
  <c r="R121" i="1"/>
  <c r="J121" i="1"/>
  <c r="F121" i="1" s="1"/>
  <c r="AD121" i="1"/>
  <c r="V121" i="1"/>
  <c r="N121" i="1"/>
  <c r="AD127" i="1"/>
  <c r="V127" i="1"/>
  <c r="N127" i="1"/>
  <c r="AB127" i="1"/>
  <c r="T127" i="1"/>
  <c r="L127" i="1"/>
  <c r="Z127" i="1"/>
  <c r="R127" i="1"/>
  <c r="J127" i="1"/>
  <c r="F129" i="1"/>
  <c r="F128" i="1" s="1"/>
  <c r="H128" i="1"/>
  <c r="F133" i="1"/>
  <c r="L135" i="1"/>
  <c r="F143" i="1"/>
  <c r="F142" i="1" s="1"/>
  <c r="H142" i="1"/>
  <c r="F174" i="1"/>
  <c r="L172" i="1"/>
  <c r="L161" i="1" s="1"/>
  <c r="F260" i="1"/>
  <c r="H257" i="1"/>
  <c r="H256" i="1" s="1"/>
  <c r="H255" i="1" s="1"/>
  <c r="T63" i="1"/>
  <c r="F63" i="1" s="1"/>
  <c r="J70" i="1"/>
  <c r="F70" i="1" s="1"/>
  <c r="R70" i="1"/>
  <c r="L78" i="1"/>
  <c r="T78" i="1"/>
  <c r="J81" i="1"/>
  <c r="F81" i="1" s="1"/>
  <c r="R81" i="1"/>
  <c r="L82" i="1"/>
  <c r="T82" i="1"/>
  <c r="J85" i="1"/>
  <c r="F85" i="1" s="1"/>
  <c r="R85" i="1"/>
  <c r="J93" i="1"/>
  <c r="R93" i="1"/>
  <c r="L94" i="1"/>
  <c r="F94" i="1" s="1"/>
  <c r="T94" i="1"/>
  <c r="J97" i="1"/>
  <c r="F97" i="1" s="1"/>
  <c r="R97" i="1"/>
  <c r="L98" i="1"/>
  <c r="F98" i="1" s="1"/>
  <c r="T98" i="1"/>
  <c r="J101" i="1"/>
  <c r="F101" i="1" s="1"/>
  <c r="R101" i="1"/>
  <c r="L102" i="1"/>
  <c r="F102" i="1" s="1"/>
  <c r="T102" i="1"/>
  <c r="J105" i="1"/>
  <c r="F105" i="1" s="1"/>
  <c r="R105" i="1"/>
  <c r="L106" i="1"/>
  <c r="F106" i="1" s="1"/>
  <c r="T106" i="1"/>
  <c r="J109" i="1"/>
  <c r="F109" i="1" s="1"/>
  <c r="R109" i="1"/>
  <c r="L110" i="1"/>
  <c r="F110" i="1" s="1"/>
  <c r="T110" i="1"/>
  <c r="P111" i="1"/>
  <c r="Z111" i="1"/>
  <c r="Z117" i="1"/>
  <c r="R117" i="1"/>
  <c r="J117" i="1"/>
  <c r="F117" i="1" s="1"/>
  <c r="AD117" i="1"/>
  <c r="V117" i="1"/>
  <c r="N117" i="1"/>
  <c r="AD119" i="1"/>
  <c r="V119" i="1"/>
  <c r="N119" i="1"/>
  <c r="Z119" i="1"/>
  <c r="R119" i="1"/>
  <c r="J119" i="1"/>
  <c r="F119" i="1" s="1"/>
  <c r="T121" i="1"/>
  <c r="AD123" i="1"/>
  <c r="V123" i="1"/>
  <c r="N123" i="1"/>
  <c r="AB123" i="1"/>
  <c r="AB92" i="1" s="1"/>
  <c r="T123" i="1"/>
  <c r="L123" i="1"/>
  <c r="Z123" i="1"/>
  <c r="R123" i="1"/>
  <c r="J123" i="1"/>
  <c r="F123" i="1" s="1"/>
  <c r="H127" i="1"/>
  <c r="F244" i="1"/>
  <c r="F243" i="1" s="1"/>
  <c r="J243" i="1"/>
  <c r="N125" i="1"/>
  <c r="V125" i="1"/>
  <c r="AD125" i="1"/>
  <c r="J144" i="1"/>
  <c r="J135" i="1" s="1"/>
  <c r="F157" i="1"/>
  <c r="F156" i="1" s="1"/>
  <c r="F155" i="1" s="1"/>
  <c r="N162" i="1"/>
  <c r="N161" i="1" s="1"/>
  <c r="F165" i="1"/>
  <c r="V161" i="1"/>
  <c r="AD161" i="1"/>
  <c r="F172" i="1"/>
  <c r="F178" i="1"/>
  <c r="F177" i="1" s="1"/>
  <c r="N247" i="1"/>
  <c r="N240" i="1" s="1"/>
  <c r="F250" i="1"/>
  <c r="F247" i="1" s="1"/>
  <c r="F152" i="1"/>
  <c r="F151" i="1" s="1"/>
  <c r="J177" i="1"/>
  <c r="R177" i="1"/>
  <c r="R161" i="1" s="1"/>
  <c r="Z177" i="1"/>
  <c r="Z161" i="1" s="1"/>
  <c r="V205" i="1"/>
  <c r="F221" i="1"/>
  <c r="N218" i="1"/>
  <c r="N217" i="1" s="1"/>
  <c r="N205" i="1" s="1"/>
  <c r="J240" i="1"/>
  <c r="V255" i="1"/>
  <c r="F258" i="1"/>
  <c r="F257" i="1" s="1"/>
  <c r="F256" i="1" s="1"/>
  <c r="F255" i="1" s="1"/>
  <c r="J257" i="1"/>
  <c r="J256" i="1" s="1"/>
  <c r="J255" i="1" s="1"/>
  <c r="L114" i="1"/>
  <c r="F114" i="1" s="1"/>
  <c r="T114" i="1"/>
  <c r="L118" i="1"/>
  <c r="T118" i="1"/>
  <c r="L122" i="1"/>
  <c r="F122" i="1" s="1"/>
  <c r="T122" i="1"/>
  <c r="J125" i="1"/>
  <c r="F125" i="1" s="1"/>
  <c r="R125" i="1"/>
  <c r="L126" i="1"/>
  <c r="F126" i="1" s="1"/>
  <c r="T126" i="1"/>
  <c r="H162" i="1"/>
  <c r="H161" i="1" s="1"/>
  <c r="F162" i="1"/>
  <c r="F161" i="1" s="1"/>
  <c r="F166" i="1"/>
  <c r="F167" i="1"/>
  <c r="J162" i="1"/>
  <c r="J161" i="1" s="1"/>
  <c r="L177" i="1"/>
  <c r="AD205" i="1"/>
  <c r="L206" i="1"/>
  <c r="T206" i="1"/>
  <c r="T205" i="1" s="1"/>
  <c r="AB206" i="1"/>
  <c r="AB205" i="1" s="1"/>
  <c r="J206" i="1"/>
  <c r="R206" i="1"/>
  <c r="Z206" i="1"/>
  <c r="L218" i="1"/>
  <c r="L217" i="1" s="1"/>
  <c r="F219" i="1"/>
  <c r="F218" i="1" s="1"/>
  <c r="F217" i="1" s="1"/>
  <c r="J218" i="1"/>
  <c r="J217" i="1" s="1"/>
  <c r="R217" i="1"/>
  <c r="Z217" i="1"/>
  <c r="F233" i="1"/>
  <c r="P257" i="1"/>
  <c r="P256" i="1" s="1"/>
  <c r="P255" i="1" s="1"/>
  <c r="F270" i="1"/>
  <c r="F266" i="1" s="1"/>
  <c r="L266" i="1"/>
  <c r="J156" i="1"/>
  <c r="J155" i="1" s="1"/>
  <c r="F240" i="1" l="1"/>
  <c r="F205" i="1" s="1"/>
  <c r="AB7" i="1"/>
  <c r="AB6" i="1" s="1"/>
  <c r="AB284" i="1" s="1"/>
  <c r="P7" i="1"/>
  <c r="P6" i="1" s="1"/>
  <c r="P284" i="1" s="1"/>
  <c r="J7" i="1"/>
  <c r="J6" i="1" s="1"/>
  <c r="J284" i="1" s="1"/>
  <c r="X7" i="1"/>
  <c r="X6" i="1" s="1"/>
  <c r="X284" i="1" s="1"/>
  <c r="N92" i="1"/>
  <c r="N8" i="1"/>
  <c r="N7" i="1" s="1"/>
  <c r="N6" i="1" s="1"/>
  <c r="N284" i="1" s="1"/>
  <c r="F118" i="1"/>
  <c r="F127" i="1"/>
  <c r="R92" i="1"/>
  <c r="R7" i="1" s="1"/>
  <c r="R6" i="1" s="1"/>
  <c r="R284" i="1" s="1"/>
  <c r="T77" i="1"/>
  <c r="T7" i="1" s="1"/>
  <c r="T6" i="1" s="1"/>
  <c r="T284" i="1" s="1"/>
  <c r="Z77" i="1"/>
  <c r="Z7" i="1" s="1"/>
  <c r="Z6" i="1" s="1"/>
  <c r="Z284" i="1" s="1"/>
  <c r="F52" i="1"/>
  <c r="F44" i="1"/>
  <c r="F36" i="1"/>
  <c r="F28" i="1"/>
  <c r="F20" i="1"/>
  <c r="F15" i="1"/>
  <c r="L92" i="1"/>
  <c r="F115" i="1"/>
  <c r="F95" i="1"/>
  <c r="H92" i="1"/>
  <c r="H7" i="1" s="1"/>
  <c r="H6" i="1" s="1"/>
  <c r="H284" i="1" s="1"/>
  <c r="Z205" i="1"/>
  <c r="R205" i="1"/>
  <c r="L205" i="1"/>
  <c r="J92" i="1"/>
  <c r="F82" i="1"/>
  <c r="L77" i="1"/>
  <c r="L7" i="1" s="1"/>
  <c r="L6" i="1" s="1"/>
  <c r="L284" i="1" s="1"/>
  <c r="F78" i="1"/>
  <c r="AD92" i="1"/>
  <c r="F113" i="1"/>
  <c r="F93" i="1"/>
  <c r="AD8" i="1"/>
  <c r="F10" i="1"/>
  <c r="F79" i="1"/>
  <c r="J205" i="1"/>
  <c r="V92" i="1"/>
  <c r="J77" i="1"/>
  <c r="F48" i="1"/>
  <c r="F40" i="1"/>
  <c r="F32" i="1"/>
  <c r="F24" i="1"/>
  <c r="F11" i="1"/>
  <c r="P92" i="1"/>
  <c r="F64" i="1"/>
  <c r="V8" i="1"/>
  <c r="V7" i="1" s="1"/>
  <c r="V6" i="1" s="1"/>
  <c r="V284" i="1" s="1"/>
  <c r="F8" i="1" l="1"/>
  <c r="AD7" i="1"/>
  <c r="AD6" i="1" s="1"/>
  <c r="AD284" i="1" s="1"/>
  <c r="F77" i="1"/>
  <c r="F92" i="1"/>
  <c r="F7" i="1" l="1"/>
  <c r="F6" i="1" s="1"/>
  <c r="F284" i="1" s="1"/>
</calcChain>
</file>

<file path=xl/sharedStrings.xml><?xml version="1.0" encoding="utf-8"?>
<sst xmlns="http://schemas.openxmlformats.org/spreadsheetml/2006/main" count="657" uniqueCount="322">
  <si>
    <t>PROGRAMA ANUAL DE ADQUISICIONES (PAA)  2022</t>
  </si>
  <si>
    <t>DEPENDENCIA:</t>
  </si>
  <si>
    <t>SECRETARIA DE ECONOMÍA</t>
  </si>
  <si>
    <t>UNIDAD RESPONSABLE:</t>
  </si>
  <si>
    <t>COORDINACION GENERAL DE ADMINISTRACIÓN Y FINANZAS</t>
  </si>
  <si>
    <t>CLAVE DEL OBJETO DEL GASTO (CAP/CONCEP/PDA)</t>
  </si>
  <si>
    <t>CONCEPTO DEL GASTO (DESCRIPCIÓN)</t>
  </si>
  <si>
    <t>ANUAL CANTIDADES</t>
  </si>
  <si>
    <t>UNIDAD DE MEDIDA</t>
  </si>
  <si>
    <t>ANUAL COSTO</t>
  </si>
  <si>
    <t xml:space="preserve">ENERO CANTIDAD </t>
  </si>
  <si>
    <t xml:space="preserve">ENERO COSTOS </t>
  </si>
  <si>
    <t xml:space="preserve">FEBRERO CANTIDAD </t>
  </si>
  <si>
    <t>FEBRERO COSTOS</t>
  </si>
  <si>
    <t>MARZO CANTIDAD</t>
  </si>
  <si>
    <t>MARZO COSTOS</t>
  </si>
  <si>
    <t>ABRIL CANTIDAD</t>
  </si>
  <si>
    <t>ABRIL COSTOS</t>
  </si>
  <si>
    <t>MAYO CANTIDAD</t>
  </si>
  <si>
    <t>MAYO COSTOS</t>
  </si>
  <si>
    <t>JUNIO CANTIDAD</t>
  </si>
  <si>
    <t>JUNIO   COSTOS</t>
  </si>
  <si>
    <t>JULIO CANTIDAD</t>
  </si>
  <si>
    <t>JULIO  COSTOS</t>
  </si>
  <si>
    <t>AGO CANTIDAD</t>
  </si>
  <si>
    <t>AGOSTO   COSTOS</t>
  </si>
  <si>
    <t>SEPT CANTIDAD</t>
  </si>
  <si>
    <t>SEPTIEMBRE COSTOS</t>
  </si>
  <si>
    <t>OCT CANTIDAD</t>
  </si>
  <si>
    <t>OCTUBRE COSTOS</t>
  </si>
  <si>
    <t>NOV CANTIDAD</t>
  </si>
  <si>
    <t>NOVIEMBRE COSTOS</t>
  </si>
  <si>
    <t>DIC CANTIDAD</t>
  </si>
  <si>
    <t>DICIEMBRE COSTOS</t>
  </si>
  <si>
    <t>COSTO UNITARIO</t>
  </si>
  <si>
    <t>MATERIALES Y SUMINISTROS</t>
  </si>
  <si>
    <t>MATERIALES DE ADMINISTRACIÓN, EMISIÓN DE DOCUMENTOS Y ARTÍCULOS OFICIALES</t>
  </si>
  <si>
    <t>Materiales, útiles y equipos menores de Oficina</t>
  </si>
  <si>
    <t>AGUJAS DE 7”</t>
  </si>
  <si>
    <t>PIEZA</t>
  </si>
  <si>
    <t>BOLÍGRAFO PUNTO MEDIANO AZUL</t>
  </si>
  <si>
    <t>BOLÍGRAFO PUNTO MEDIANO NEGRO</t>
  </si>
  <si>
    <t>BOLÍGRAFO PUNTO MEDIANO ROJO</t>
  </si>
  <si>
    <t>BORRADOR DE MIGAJON MEDIANO</t>
  </si>
  <si>
    <t>BORRADOR PARA PINTARRON</t>
  </si>
  <si>
    <t>BROCHE PARA ARCHIVO DE 8 CM C/50 PIEZAS</t>
  </si>
  <si>
    <t>CAJA</t>
  </si>
  <si>
    <t>CAJA PARA ARCHIVO MUERTO DE CARTON TAMAÑO CARTA</t>
  </si>
  <si>
    <t>CAJA PARA ARCHIVO MUERTO DE PLÁSTICO TAMAÑO OFICIO</t>
  </si>
  <si>
    <t>CARPETA DE 3 ARGOLLAS DE 1 PULG.</t>
  </si>
  <si>
    <t>CARPETA DE 3 ARGOLLAS DE 2 PULG.</t>
  </si>
  <si>
    <t>CINTA CANELA 48*50</t>
  </si>
  <si>
    <t>CINTA ADHESIVA TRANSPARENTE 18*65</t>
  </si>
  <si>
    <t>CINTA ADHESIVA TRANSPARENTE 48*50</t>
  </si>
  <si>
    <t>CLIP GÓTICO NO. 1 CON 100 PIEZAS</t>
  </si>
  <si>
    <t>CLIP GÓTICO NO. 2 CON 100 PIEZAS</t>
  </si>
  <si>
    <t>CLIP MARIPOSA NO. 1. C/12 PIEZAS</t>
  </si>
  <si>
    <t>CLIP MARIPOSA NO. 2 C/50 PIEZAS</t>
  </si>
  <si>
    <t>CORRECTOR DE AGUA 20 ML</t>
  </si>
  <si>
    <t>CUENTA FÁCIL</t>
  </si>
  <si>
    <t>DESENGRAPADOR</t>
  </si>
  <si>
    <t>ENGRAPADORA DE TIRA COMPLETA</t>
  </si>
  <si>
    <t>FOLDER TAMAÑO CARTA COLOR BEIGE C/100</t>
  </si>
  <si>
    <t>PAQUETE</t>
  </si>
  <si>
    <t>FOLDER TAMAÑO OFICIO COLOR BEIGE C/100</t>
  </si>
  <si>
    <t xml:space="preserve">GRAPA ESTANDARD </t>
  </si>
  <si>
    <t>HILO CAÑAMO 00 75 GRS</t>
  </si>
  <si>
    <t>HOJAS BLANCAS TAMAÑO CARTA C/5000</t>
  </si>
  <si>
    <t>HOJAS DE COLOR TAMAÑO CARTA C/100</t>
  </si>
  <si>
    <t>HOJAS BLANCAS TAMAÑO OFICIO C/5000</t>
  </si>
  <si>
    <t>LAPIZ BICOLOR DELGADO</t>
  </si>
  <si>
    <t>LAPIZ DE CERA COLOR ROJO</t>
  </si>
  <si>
    <t>LAPIZ METRICO NO. 2 CON GOMA</t>
  </si>
  <si>
    <t>LIBRETA DE TAQUIGRAFIA LARGA CON 80 HOJAS</t>
  </si>
  <si>
    <t>LIBRETA DE PASTA DURA TAMAÑO FRANCESA 96 HOJAS</t>
  </si>
  <si>
    <t>LIBRETA PROFESIONAL RAYADA 100 HOJAS</t>
  </si>
  <si>
    <t>LIBRO FLORETE RAYADO FORMA FRANCESA 96 HOJAS</t>
  </si>
  <si>
    <t>LIBRO FLORETE RAYADO FORMA ITALIANA 192 HOJAS</t>
  </si>
  <si>
    <t>MARCADOR PERMANENTE PUNTA CINCEL AZUL</t>
  </si>
  <si>
    <t>MARCADOR PERMANENTE PUNTA CINCEL NEGRO</t>
  </si>
  <si>
    <t>MARCATEXTOS AMARILLO PUNTA CINCEL</t>
  </si>
  <si>
    <t>MARCATEXTOS VERDE PUNTA CINCEL</t>
  </si>
  <si>
    <t>MARCATEXTOS NARANJA PUNTA CINCEL</t>
  </si>
  <si>
    <t>MARCADOR PARA PINTARRON C/4 PIEZAS</t>
  </si>
  <si>
    <t>PAPEL OPALINA DELGADA TAM CARTA</t>
  </si>
  <si>
    <t>PAPEL OPALINA GRUESA 225 GRS TAM CARTA C/100</t>
  </si>
  <si>
    <t>PEGAMENTO EN LAPIZ ADHESIVO 20 GRS</t>
  </si>
  <si>
    <t>PERFORADORA DE 2 ORIFICIOS</t>
  </si>
  <si>
    <t>PERFORADORA 3 ORIFICIOS</t>
  </si>
  <si>
    <t>PILA AAA C/4 PIEZAS</t>
  </si>
  <si>
    <t>POLIZA DE CHEQUE CON PAPEL CARBON</t>
  </si>
  <si>
    <t>RECOPILADOR TAMAÑO CARTA</t>
  </si>
  <si>
    <t>RECOPILADOR TAMAÑO OFICIO</t>
  </si>
  <si>
    <t>REGLA DE ALUMINIO DE 30 CMS</t>
  </si>
  <si>
    <t>SACAPUNTAS DE PLÁSTICO</t>
  </si>
  <si>
    <t>SOBRE MANILA TAMAÑO CARTA</t>
  </si>
  <si>
    <t>SOBRE MANILA TAMAÑO EXTRA OFICIO</t>
  </si>
  <si>
    <t>SOBRE MANILA TAMAÑO RADIOGRAFIA</t>
  </si>
  <si>
    <t>SOBRE MANILA TAMAÑO MEDIA CARTA</t>
  </si>
  <si>
    <t>TABLA DE APOYO TAM CARTA DE FIBRACEL</t>
  </si>
  <si>
    <t>TIJERA NO. 7 PARA OFICINA</t>
  </si>
  <si>
    <t>TINTA PARA SELLOS COLOR AZUL 28 ML</t>
  </si>
  <si>
    <t>TINTA PARA SELLOS COLOR NEGRO 28 ML</t>
  </si>
  <si>
    <t>TINTA PARA SELLOS COLOR ROJO 28 ML</t>
  </si>
  <si>
    <t xml:space="preserve">PILAS BOTON BLISTER BATERÍAS LITIO RELOJ BASCULA CR2032 </t>
  </si>
  <si>
    <t>Materiales y útiles de impresión y reproducción</t>
  </si>
  <si>
    <t>Material para fotografías</t>
  </si>
  <si>
    <t>Material Estadistico y Geográfico</t>
  </si>
  <si>
    <t>MAPAS, PLANOS FOTOGRAFIAS AEREAS</t>
  </si>
  <si>
    <t>Materiales, útiles y equipos menores de tecnologías de la información y comunicaciones</t>
  </si>
  <si>
    <t>CD (TORRE CON 50 PIEZAS)</t>
  </si>
  <si>
    <t>DVD (TORRE CON 50)</t>
  </si>
  <si>
    <t>TONER PARA IMPRESORA HP  CE505A</t>
  </si>
  <si>
    <t>TONER PARA IMPRESORA HP Q2612A</t>
  </si>
  <si>
    <t>TONER PARA IMPRESORA HP  PAGEWIDE PRO 772DW TINTA NEGRA</t>
  </si>
  <si>
    <t>TONER PARA IMPRESORA HP  PAGEWIDE PRO 772DW TINTA CYAN</t>
  </si>
  <si>
    <t>TONER PARA IMPRESORA HP  PAGEWIDE PRO 772DW TINTA MAGENTA</t>
  </si>
  <si>
    <t>TONER PARA IMPRESORA HP  PAGEWIDE PRO 772DW TINTA AMARILLO</t>
  </si>
  <si>
    <t xml:space="preserve">AIRE COMPRIMIDO OFFICE DEPOT 360GR </t>
  </si>
  <si>
    <t>COOLER MASTER PASTA TÉRMICA THERMAL GREASE, 0.8 W/M•K, 2.37 GRAMOS (PZA.)</t>
  </si>
  <si>
    <t>ESPUMA LIMPIADORA P/ CUBIERTAS PLÁSTICAS COMPUTADORAS STEREN (PZA.)</t>
  </si>
  <si>
    <t>LIMPIADOR DIELECTRICO SILIMEX COMPUKLIN CIRCUITOS ELECTRICOS (PZA.)</t>
  </si>
  <si>
    <t>Material impreso e información digital</t>
  </si>
  <si>
    <t xml:space="preserve"> </t>
  </si>
  <si>
    <t>DIARIOS OFICIALES</t>
  </si>
  <si>
    <t>Material de limpieza</t>
  </si>
  <si>
    <t>ABRILLANTADOR PARA MADERA DE 400 ML.</t>
  </si>
  <si>
    <t>ACEITE PARA MUEBLES ROJO 480 ML</t>
  </si>
  <si>
    <t>ACIDO MURIATICO 900 ML</t>
  </si>
  <si>
    <t>AROMATIZANTE AMBIENTAL  EN AEROSOL 400 ML VARIOS AROMAS</t>
  </si>
  <si>
    <t>ATOMIZADOR DE PLASTICO 1 LITRO</t>
  </si>
  <si>
    <t>BOLSA DE CAMISETA 30*60. CM ECOLÓGICA</t>
  </si>
  <si>
    <t>KILO</t>
  </si>
  <si>
    <t>BOLSA NEGRA PARA BASURA 60*90</t>
  </si>
  <si>
    <t>BOLSA NEGRA PARA BASURA 90*120</t>
  </si>
  <si>
    <t>BOMBA DESTAPACAÑOS CON MANGO DE MADERA</t>
  </si>
  <si>
    <t>CESTO PARA BASURA CHICO 30 CM ALTURA</t>
  </si>
  <si>
    <t>CUBETA DE PLASTICO NO. 12</t>
  </si>
  <si>
    <t>DETERGENTE EN POLVO MULTIUSOS (BOLSA 1 KG)</t>
  </si>
  <si>
    <t>ESCOBA ABANICO CORTA</t>
  </si>
  <si>
    <t>ESCOBILLON DE W.C. BOLA CON BASE</t>
  </si>
  <si>
    <t>FIBRA CON ESPONJA AMARILLA MINI</t>
  </si>
  <si>
    <t>FRANELA GRIS 1 MT</t>
  </si>
  <si>
    <t>GEL ANTIBACTERIAL 20 LITROS</t>
  </si>
  <si>
    <t>BIDON</t>
  </si>
  <si>
    <t>GUANTE DE LATEX PARA LIMPIEZA DOMESTICO 8”</t>
  </si>
  <si>
    <t>PAR</t>
  </si>
  <si>
    <t>GUANTE DE LATEX PARA LIMPIEZA DOMESTICO 10”</t>
  </si>
  <si>
    <t>INSECTICIDA EN AEROSOL DE 400 ML</t>
  </si>
  <si>
    <t>JABON LIQUIDO PARA MANOS CON 2O LITROS</t>
  </si>
  <si>
    <t>LIJA DE AGUA NO. 220</t>
  </si>
  <si>
    <t>LIMPIADOR MULTIUSOS AROMA A PÍNO 828 ML</t>
  </si>
  <si>
    <t>LIMPIADOR MULTIUSOS VARIOS AROMAS 1 LT</t>
  </si>
  <si>
    <t>LIMPIAVIDRIOS LIQUIDO 1 LT</t>
  </si>
  <si>
    <t>MICROFIBRA 40*40 CMS</t>
  </si>
  <si>
    <t>PAÑO LIMPIADOR DE MICROFIBRA AZUL PARA CARRO</t>
  </si>
  <si>
    <t>PAPEL HIGIENICO EN BOBINA DE 200 MTS CAJA CON 12</t>
  </si>
  <si>
    <t>PASTILLA AROMATIZANTE PARA BAÑO, CON GANCHO</t>
  </si>
  <si>
    <t>RECOGEDOR DE PLASTICO</t>
  </si>
  <si>
    <t>RECOGEDOR DE LAMINA CON BASTON DE MADERA</t>
  </si>
  <si>
    <t>SANITIZANTE Y DESINFECTANTE DE 20 LTS</t>
  </si>
  <si>
    <t>TOALLA EN ROLLO PARA MANOS DE 180 MTS CON 6 PIEZAS</t>
  </si>
  <si>
    <t>TOALLA INTERDOBLADA CON 20 PAQ DE 100 PIEZAS</t>
  </si>
  <si>
    <t>TRAPEADOR DE HILAZA 650 GRS</t>
  </si>
  <si>
    <t>Materiales para el registro e identificación de bienes y personas</t>
  </si>
  <si>
    <t>CINTA ZEBRA YMCKO 800017-240 PARA IMPRESORA DE CREDENCIALES (ROLLO)</t>
  </si>
  <si>
    <t>ALIMENTOS Y UTENSILIOS</t>
  </si>
  <si>
    <t>Productos alimenticios para personas</t>
  </si>
  <si>
    <t>ALIMENTOS DE TRABAJO</t>
  </si>
  <si>
    <t>CONSUMO</t>
  </si>
  <si>
    <t>AGUA PURIFICADA EN GARRAFON</t>
  </si>
  <si>
    <t>GARRAFON</t>
  </si>
  <si>
    <t>AGUA EMBOTELLADA 330 ML C/24</t>
  </si>
  <si>
    <t>CHAROLA</t>
  </si>
  <si>
    <t>MATERIALES Y ARTÍCULOS DE CONSTRUCCIÓN Y DE REPARACIÓN</t>
  </si>
  <si>
    <t>Cemento y productos de concreto</t>
  </si>
  <si>
    <t>ADHESIVO, JUNTEADOR, CEMENTO</t>
  </si>
  <si>
    <t>Cal, yeso y productos de yeso</t>
  </si>
  <si>
    <t>CAL</t>
  </si>
  <si>
    <t>PLAFONES</t>
  </si>
  <si>
    <t>TABLA ROCA</t>
  </si>
  <si>
    <t>PANEL</t>
  </si>
  <si>
    <t>Material eléctrico y electrónico</t>
  </si>
  <si>
    <t xml:space="preserve">CLAVIJA CONVERTIDORA A TIERRA NARANJA </t>
  </si>
  <si>
    <t>Materiales complementarios</t>
  </si>
  <si>
    <t>CORTINAS</t>
  </si>
  <si>
    <t>CHAPAS</t>
  </si>
  <si>
    <t>CANALETAS DE PVC</t>
  </si>
  <si>
    <t>RODILLO</t>
  </si>
  <si>
    <t>OTROS MATERIALES Y ARTICULOS DE CONSTRUCCION Y REPARACION</t>
  </si>
  <si>
    <t>PINTURA VINILICA</t>
  </si>
  <si>
    <t>CUBETA</t>
  </si>
  <si>
    <t>CUMBUSTIBLES, LUBRICANTES Y ADITIVOS</t>
  </si>
  <si>
    <t>Combustibles, lubricantes y aditivos</t>
  </si>
  <si>
    <t>ACEITES Y GRASAS</t>
  </si>
  <si>
    <t>LITRO</t>
  </si>
  <si>
    <t>GASOLINA</t>
  </si>
  <si>
    <t>VESTUARIO, BLANCOS, PRENDAS DE PROTECCIÓN Y ARTÍCULOS DEPORTIVOS</t>
  </si>
  <si>
    <t>Vestuario y uniformes</t>
  </si>
  <si>
    <t>UNIFORMES, CAMISAS</t>
  </si>
  <si>
    <t xml:space="preserve">Prendas de seguridad y protección personal </t>
  </si>
  <si>
    <t>CUBREBOCAS C/100</t>
  </si>
  <si>
    <t>GUANTES C/100</t>
  </si>
  <si>
    <t>HERRAMIENTAS, REFACCIONES Y ACCESORIOS MENORES</t>
  </si>
  <si>
    <t>Herramientas menores</t>
  </si>
  <si>
    <t>FLEXÓMETRO 5 M</t>
  </si>
  <si>
    <t>HERRAMIENTAS VARIAS (PINZAS, DESARMADORES, CAJA DE HERRAMIENTAS, JUEGO DE PTAS PARA DESTORNILLADOR, ROTOMARTILLO VELOC. VARIABLE, PINZAS PRESION, PINZAS DIAGONALES 7 PULG, MARTILLO DE UÑA)</t>
  </si>
  <si>
    <t>GATO HIDRAULICO DE 2 TON.</t>
  </si>
  <si>
    <t>LLAVE DE CRUZ</t>
  </si>
  <si>
    <t>MULTIMETRO DIGITAL PROFESIONAL</t>
  </si>
  <si>
    <t>CAUTIN TIPO LAPIZ 25W</t>
  </si>
  <si>
    <t>JUEGO BROCAS Y CINCELES SDS PLUS (10 PIEZAS) D45820 (PZA.)</t>
  </si>
  <si>
    <t xml:space="preserve">PINZA CRIMPEADORA INTELLINET 211048 </t>
  </si>
  <si>
    <t>GRAPA CON 50 PIEZAS PARA CABLE UTP</t>
  </si>
  <si>
    <t>Refacciones y accesorios menores de edificios</t>
  </si>
  <si>
    <t>CANDADOS</t>
  </si>
  <si>
    <t>LLAVE DE PASO</t>
  </si>
  <si>
    <t>Refacciones y accesorios menores de mobiliario y equipo de administración, educaciones y recreativo</t>
  </si>
  <si>
    <t>CORREDERA, TAQUETES, PIJAS</t>
  </si>
  <si>
    <t>Refacciones y accesorios menores de equipo de cómputo tecnologías de la información</t>
  </si>
  <si>
    <t>PLUG RJ-45 CAT 5</t>
  </si>
  <si>
    <t>PINZA PONCHADORA PLUG RJ-11, RJ-12 Y RJ-45</t>
  </si>
  <si>
    <t>USB</t>
  </si>
  <si>
    <t>CABLE UTP CATEGORIA 5, ROLLO CON 305 M</t>
  </si>
  <si>
    <t>ROLLO</t>
  </si>
  <si>
    <t>JUEGO DE DESARMADORES COMBINADOS</t>
  </si>
  <si>
    <t>BOBINA DE CABLE SAXXON 305 M, CAT5E, BLANCO, CABLEADO POR UTP, INTERIOR</t>
  </si>
  <si>
    <t>PLUGS DE RED RJ45, CAT5E, BOTE 100 PZS BROBOTIX 263786, MACHO</t>
  </si>
  <si>
    <t xml:space="preserve">ROUTER LINKSYS EA7450 WI-FI GIGABIT AC-1000 GIGABIT DE DOBLE BANDA AC1900 MU-MIMO, 300 + 1600 MBPS </t>
  </si>
  <si>
    <t xml:space="preserve">SWITCH GHIA 8 PUERTOS RJ45 10 / 100 MBPS NO ADMINISTRABLE AUTO MDI / MDIX HALF FULL DUPLEX </t>
  </si>
  <si>
    <t>FUENTE DE PODER ATX TRUE BASIX 500 W</t>
  </si>
  <si>
    <t xml:space="preserve">MOUSE INALÁMBRICO M170 </t>
  </si>
  <si>
    <t>CAJA DE EMPALME ROSETA ACOPLADOR , RJ-45, RJ-45, HEMBRA/HEMBRA (PZA.)</t>
  </si>
  <si>
    <t>EPSON VIDEOPROYECTOR POWERLITE E20, XGA 3400 LÚMENES BLANCO Y COLOR, 3LCD CON HDMI PARA EDUCACIÓN, ALTAVOZ INCORPORADO DE 5W (PZA.)</t>
  </si>
  <si>
    <t>ELIMINADOR DE ENERGÍA PARA IMPRESORA DE CREDENCIALES (PZA.)</t>
  </si>
  <si>
    <t>CABLEADO ESTRUCTURADO (2 SWITCH, 1 ROUTERS, 2 PANE DEL PARCHEO, 4 BOBINAS DE CABLE, 2 CHAROLAS, 3 BOBINAS CABLE UTP, 40 CONECTORES JACKS, 40 CAJAS Y TAPAS Y CANALES)</t>
  </si>
  <si>
    <t>Refacciones y accesorios menores de equipo de transporte</t>
  </si>
  <si>
    <t>ACUMULADOR</t>
  </si>
  <si>
    <t>BUJÍA</t>
  </si>
  <si>
    <t>FILTRO DE AIRE</t>
  </si>
  <si>
    <t>FILTRO DE ACEITE</t>
  </si>
  <si>
    <t>BALATAS</t>
  </si>
  <si>
    <t>ANTICONGELANTE</t>
  </si>
  <si>
    <t>GALON</t>
  </si>
  <si>
    <t>AMORTIGUADORES</t>
  </si>
  <si>
    <t>LIQUIDO DE FRENOS</t>
  </si>
  <si>
    <t>LLANTAS</t>
  </si>
  <si>
    <t>KILOWATT</t>
  </si>
  <si>
    <t>SERVICIOS</t>
  </si>
  <si>
    <t>SERVICIO</t>
  </si>
  <si>
    <t>MENSUALIDAD</t>
  </si>
  <si>
    <t xml:space="preserve">Servicio postal </t>
  </si>
  <si>
    <t>SERVICIO POSTAL, NACIONAL, INTERNACIONAL, GUBERNAMENTAL Y PRIVADO</t>
  </si>
  <si>
    <t>SERVICIOS DE ARRENDAMIENTO</t>
  </si>
  <si>
    <t>Arrendamiento de edificios</t>
  </si>
  <si>
    <t>ALQUILER DE EDIFICIO EN  INSURGENTES NO. 854, COLONIA EL RODEO, TEPIC, NAY.</t>
  </si>
  <si>
    <t>ALQUILER DE EDIFICIO EN QUERETARO NO. 35, COLONIA CENTRO, TEPIC, NAY.</t>
  </si>
  <si>
    <t>ALQUILER DE EDIFICIO EN CARRETERA TEPIC-VALLARTA KM 26, EN MEZCALES, BAHIA DE BANDEERAS, NAY.</t>
  </si>
  <si>
    <t>Arrendamiento de mobiliario y equipo de administración, educacional y recreativo</t>
  </si>
  <si>
    <t>ARRENDAMIENTO DE EQUIPO Y BIENES INFORMÁTICOS</t>
  </si>
  <si>
    <t xml:space="preserve">ARRENDAMIENTO DE MOBILIARIO </t>
  </si>
  <si>
    <t>Arrendamiento de equipo de transporte</t>
  </si>
  <si>
    <t>ALQUILER DE EQUIPO DE TRANSPORTE</t>
  </si>
  <si>
    <t>ARRENDAMIENTO DE ACTIVOS INTAGIBLES</t>
  </si>
  <si>
    <t>LICENCIA ANTIVIRUS</t>
  </si>
  <si>
    <t>Servicio de apoyo administrativo, fotocopiado e impresión</t>
  </si>
  <si>
    <t>ENGARGOLADO</t>
  </si>
  <si>
    <t>IMPRESIÓN DOCUMENTOS OFICIALES</t>
  </si>
  <si>
    <t>SERVICIOS FINANCIEROS , BANCARIOS Y COMERCIALES</t>
  </si>
  <si>
    <t>Servicios financieros y bancarios</t>
  </si>
  <si>
    <t>COMISIONES BANCARIAS</t>
  </si>
  <si>
    <t>Seguro de bienes patrimoniales</t>
  </si>
  <si>
    <t>SEGUROS VEHICULARES</t>
  </si>
  <si>
    <t>Fletes y maniobras</t>
  </si>
  <si>
    <t>PIPAS CON AGUA POTABLE</t>
  </si>
  <si>
    <t>RENTA</t>
  </si>
  <si>
    <t>SERVICIOS DE INSTALACIÓN, REPARACIÓN, MANTENIMIENTO Y CONSERVACIÓN</t>
  </si>
  <si>
    <t>Conservación y mantenimiento menor de inmuebles</t>
  </si>
  <si>
    <t>SERVICIOS DE CONSERVACIÓN Y MANTENIMIENTO DE EDIFICIOS</t>
  </si>
  <si>
    <t>Instalación, reparación y mantenimiento de mobiliario y equipo de administración, educacional y recreativo</t>
  </si>
  <si>
    <t>MANTENIMIENTO PREVENTIVO AIRE ACONDICIONADO</t>
  </si>
  <si>
    <t>Instalación, reparación y mantenimiento de equipo de cómputo y tecnología de la información</t>
  </si>
  <si>
    <t>GASTOS POR SERVICIOS, INSTALACIÓN, REPARACIÓN Y MANTENIMIENTO DE EQUIPO DE CÓMPUTO Y TECNOLOGÍAS DE LA INFORMACIÓN.</t>
  </si>
  <si>
    <t>Reparación y mantenimiento de equipo de transporte</t>
  </si>
  <si>
    <t>ALINEACIÓN Y BALANCEO</t>
  </si>
  <si>
    <t>CAMBIO DE CLUTCH</t>
  </si>
  <si>
    <t>CAMBIO DE BALATAS</t>
  </si>
  <si>
    <t>Instalación, reparación y mantenimiento de maquinaria, otros equipos y herramientas</t>
  </si>
  <si>
    <t>MANTENIMIENTO DE BOMBA DE AGUA</t>
  </si>
  <si>
    <t>Servicios de jardinería y fumigación</t>
  </si>
  <si>
    <t>SERVICIOS DE FUMIGACIÓN</t>
  </si>
  <si>
    <t>BIENES MUEBLES, INMUEBLES E INTANGIBLES</t>
  </si>
  <si>
    <t>MOBILIARIOS Y EQUIPO DE ADMINISTRACIÓN</t>
  </si>
  <si>
    <t>Muebles de oficina y estantería</t>
  </si>
  <si>
    <t>ARCHIVERO 4 GAVETAS MELAMINA</t>
  </si>
  <si>
    <t>ARCHIVERO 2 GAVETAS MELAMINA</t>
  </si>
  <si>
    <t>SILLAS SECRETARIALES</t>
  </si>
  <si>
    <t>SILLA PARA VISITA</t>
  </si>
  <si>
    <t>ESCRITORIO GRANDE CON LATERAL Y LIBRERO</t>
  </si>
  <si>
    <t>ESCRITORIO PUNTA DE BALA CON LATERAL</t>
  </si>
  <si>
    <t>ESCRITORIO SECRETARIAL</t>
  </si>
  <si>
    <t>ANAQUEL METALICO</t>
  </si>
  <si>
    <t>EQUIPO DE COMPUTO Y TECNOLOGIAS DE LA INFORMACION</t>
  </si>
  <si>
    <t xml:space="preserve">TELEFONOS </t>
  </si>
  <si>
    <t>COMPUTADORAS 1 TB, 10GB EN RAM</t>
  </si>
  <si>
    <t>COMPUTADORAS  INTEL CORE I5, 10a GENERACION, 8GB RAM, SSD 480 GB.</t>
  </si>
  <si>
    <t>CONMUTADOR</t>
  </si>
  <si>
    <t xml:space="preserve">DISCO DURO EXTERNO HD720, 2 TB, USB 3.2 (USB 3.1,3.0, 2.0), NEGRO </t>
  </si>
  <si>
    <t>Otros mobiliarios y equipos de administración</t>
  </si>
  <si>
    <t>EXTINTORES</t>
  </si>
  <si>
    <t>VENTILADOR</t>
  </si>
  <si>
    <t>AIRE ACONDICIONADO</t>
  </si>
  <si>
    <t>ROTOMARTILLO MT M8701G GRIS CON 800W DE POTENCIA 120V</t>
  </si>
  <si>
    <t xml:space="preserve">SOPLADORA ASPIRADORA ADIR 988 ELÉCTRICA 600W 120V </t>
  </si>
  <si>
    <t xml:space="preserve">PROBADOR D/CABLES DE RED/GENERADOR DE TONOS POLLO UT682 </t>
  </si>
  <si>
    <t>ACTIVOS INTANGIBLES</t>
  </si>
  <si>
    <t>SOFTWARE</t>
  </si>
  <si>
    <t>PAQUETE COMPUTACIONAL</t>
  </si>
  <si>
    <t>LICENCIAS INFORMÁTICAS E INTELECTUALES</t>
  </si>
  <si>
    <t>TOTAL</t>
  </si>
  <si>
    <t>TITULAR DE LA COORDINACIÓN GENERAL DE ADMINISTRACIÓN Y FINANZAS</t>
  </si>
  <si>
    <t>L.N.I. SUSANA ACEVES ASCENCIO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</si>
</sst>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_-\$* #,##0.00_-;&quot;-$&quot;* #,##0.00_-;_-\$* \-??_-;_-@_-"/>
  </numFmts>
  <fonts count="12" x14ac:knownFonts="1">
    <font>
      <sz val="10"/>
      <name val="Arial"/>
      <family val="2"/>
      <charset val="1"/>
    </font>
    <font>
      <b/>
      <sz val="11"/>
      <name val="Arial"/>
      <family val="2"/>
      <charset val="1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8"/>
      <name val="Times New Roman"/>
      <family val="1"/>
      <charset val="1"/>
    </font>
    <font>
      <sz val="8"/>
      <name val="Arial"/>
      <family val="2"/>
      <charset val="1"/>
    </font>
    <font>
      <sz val="6"/>
      <name val="Times New Roman"/>
      <family val="1"/>
      <charset val="1"/>
    </font>
    <font>
      <b/>
      <sz val="10"/>
      <name val="Times New Roman"/>
      <family val="1"/>
      <charset val="1"/>
    </font>
    <font>
      <u/>
      <sz val="8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E6B9B8"/>
      </patternFill>
    </fill>
    <fill>
      <patternFill patternType="solid">
        <fgColor rgb="FFE6B9B8"/>
        <bgColor rgb="FFFFCC99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5" fontId="11" fillId="0" borderId="0" applyBorder="0" applyProtection="0"/>
  </cellStyleXfs>
  <cellXfs count="114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Font="1"/>
    <xf numFmtId="0" fontId="0" fillId="0" borderId="0" xfId="0" applyAlignment="1">
      <alignment horizontal="center" wrapText="1"/>
    </xf>
    <xf numFmtId="0" fontId="0" fillId="0" borderId="0" xfId="0" applyBorder="1"/>
    <xf numFmtId="0" fontId="0" fillId="0" borderId="0" xfId="0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justify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2" fillId="0" borderId="7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vertical="top" wrapText="1"/>
    </xf>
    <xf numFmtId="2" fontId="0" fillId="0" borderId="0" xfId="0" applyNumberFormat="1"/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vertical="top" wrapText="1"/>
    </xf>
    <xf numFmtId="0" fontId="2" fillId="0" borderId="9" xfId="0" applyFont="1" applyBorder="1" applyAlignment="1">
      <alignment horizontal="right" vertical="top" wrapText="1"/>
    </xf>
    <xf numFmtId="4" fontId="2" fillId="0" borderId="9" xfId="0" applyNumberFormat="1" applyFont="1" applyBorder="1" applyAlignment="1">
      <alignment horizontal="right" vertical="top" wrapText="1"/>
    </xf>
    <xf numFmtId="164" fontId="5" fillId="0" borderId="0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right" vertical="top" wrapText="1"/>
    </xf>
    <xf numFmtId="0" fontId="0" fillId="0" borderId="9" xfId="0" applyFont="1" applyBorder="1" applyAlignment="1">
      <alignment wrapText="1"/>
    </xf>
    <xf numFmtId="164" fontId="0" fillId="0" borderId="9" xfId="0" applyNumberFormat="1" applyFont="1" applyBorder="1"/>
    <xf numFmtId="0" fontId="5" fillId="0" borderId="9" xfId="0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right" vertical="top" wrapText="1"/>
    </xf>
    <xf numFmtId="164" fontId="5" fillId="0" borderId="10" xfId="0" applyNumberFormat="1" applyFont="1" applyBorder="1" applyAlignment="1">
      <alignment vertical="top" wrapText="1"/>
    </xf>
    <xf numFmtId="4" fontId="5" fillId="0" borderId="10" xfId="0" applyNumberFormat="1" applyFont="1" applyBorder="1" applyAlignment="1">
      <alignment vertical="top" wrapText="1"/>
    </xf>
    <xf numFmtId="0" fontId="0" fillId="0" borderId="9" xfId="0" applyFont="1" applyBorder="1"/>
    <xf numFmtId="4" fontId="5" fillId="0" borderId="9" xfId="0" applyNumberFormat="1" applyFont="1" applyBorder="1" applyAlignment="1">
      <alignment vertical="top" wrapText="1"/>
    </xf>
    <xf numFmtId="0" fontId="0" fillId="0" borderId="9" xfId="0" applyFont="1" applyBorder="1" applyAlignment="1"/>
    <xf numFmtId="0" fontId="0" fillId="0" borderId="9" xfId="0" applyFont="1" applyBorder="1" applyAlignment="1">
      <alignment horizontal="left" wrapText="1"/>
    </xf>
    <xf numFmtId="0" fontId="0" fillId="0" borderId="9" xfId="0" applyFont="1" applyBorder="1" applyAlignment="1">
      <alignment horizontal="left"/>
    </xf>
    <xf numFmtId="4" fontId="6" fillId="0" borderId="11" xfId="0" applyNumberFormat="1" applyFont="1" applyBorder="1" applyAlignment="1">
      <alignment vertical="top" wrapText="1"/>
    </xf>
    <xf numFmtId="0" fontId="5" fillId="0" borderId="9" xfId="0" applyFont="1" applyBorder="1" applyAlignment="1">
      <alignment horizontal="justify" vertical="top" wrapText="1"/>
    </xf>
    <xf numFmtId="164" fontId="5" fillId="0" borderId="9" xfId="0" applyNumberFormat="1" applyFont="1" applyBorder="1" applyAlignment="1">
      <alignment horizontal="right" vertical="top" wrapText="1"/>
    </xf>
    <xf numFmtId="164" fontId="5" fillId="0" borderId="9" xfId="0" applyNumberFormat="1" applyFont="1" applyBorder="1" applyAlignment="1">
      <alignment vertical="top" wrapText="1"/>
    </xf>
    <xf numFmtId="4" fontId="4" fillId="0" borderId="9" xfId="0" applyNumberFormat="1" applyFont="1" applyBorder="1"/>
    <xf numFmtId="164" fontId="2" fillId="0" borderId="9" xfId="0" applyNumberFormat="1" applyFont="1" applyBorder="1" applyAlignment="1">
      <alignment vertical="top" wrapText="1"/>
    </xf>
    <xf numFmtId="4" fontId="2" fillId="0" borderId="9" xfId="0" applyNumberFormat="1" applyFont="1" applyBorder="1" applyAlignment="1">
      <alignment vertical="top" wrapText="1"/>
    </xf>
    <xf numFmtId="164" fontId="5" fillId="0" borderId="10" xfId="0" applyNumberFormat="1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4" fontId="5" fillId="0" borderId="10" xfId="0" applyNumberFormat="1" applyFont="1" applyBorder="1" applyAlignment="1">
      <alignment horizontal="right" vertical="top" wrapText="1"/>
    </xf>
    <xf numFmtId="164" fontId="2" fillId="0" borderId="10" xfId="0" applyNumberFormat="1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4" fontId="5" fillId="0" borderId="0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center" vertical="top"/>
    </xf>
    <xf numFmtId="164" fontId="5" fillId="0" borderId="0" xfId="0" applyNumberFormat="1" applyFont="1" applyBorder="1" applyAlignment="1">
      <alignment vertical="top" wrapText="1"/>
    </xf>
    <xf numFmtId="0" fontId="0" fillId="0" borderId="0" xfId="0" applyFont="1" applyBorder="1"/>
    <xf numFmtId="0" fontId="2" fillId="0" borderId="7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vertical="top" wrapText="1"/>
    </xf>
    <xf numFmtId="4" fontId="2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center" vertical="top" wrapText="1"/>
    </xf>
    <xf numFmtId="164" fontId="5" fillId="0" borderId="7" xfId="0" applyNumberFormat="1" applyFont="1" applyBorder="1" applyAlignment="1">
      <alignment vertical="top" wrapText="1"/>
    </xf>
    <xf numFmtId="4" fontId="5" fillId="0" borderId="7" xfId="0" applyNumberFormat="1" applyFont="1" applyBorder="1" applyAlignment="1">
      <alignment vertical="top" wrapText="1"/>
    </xf>
    <xf numFmtId="3" fontId="5" fillId="0" borderId="7" xfId="0" applyNumberFormat="1" applyFont="1" applyBorder="1" applyAlignment="1">
      <alignment horizontal="right" vertical="top" wrapText="1"/>
    </xf>
    <xf numFmtId="164" fontId="2" fillId="0" borderId="10" xfId="0" applyNumberFormat="1" applyFont="1" applyBorder="1" applyAlignment="1">
      <alignment horizontal="right" vertical="top" wrapText="1"/>
    </xf>
    <xf numFmtId="4" fontId="2" fillId="0" borderId="10" xfId="0" applyNumberFormat="1" applyFont="1" applyBorder="1" applyAlignment="1">
      <alignment horizontal="right" vertical="top" wrapText="1"/>
    </xf>
    <xf numFmtId="0" fontId="2" fillId="0" borderId="10" xfId="0" applyFont="1" applyBorder="1" applyAlignment="1">
      <alignment horizontal="justify" vertical="top" wrapText="1"/>
    </xf>
    <xf numFmtId="0" fontId="0" fillId="0" borderId="9" xfId="0" applyFont="1" applyBorder="1" applyAlignment="1">
      <alignment horizontal="right" wrapText="1"/>
    </xf>
    <xf numFmtId="4" fontId="2" fillId="0" borderId="9" xfId="0" applyNumberFormat="1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3" fontId="5" fillId="0" borderId="9" xfId="0" applyNumberFormat="1" applyFont="1" applyBorder="1" applyAlignment="1">
      <alignment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0" fillId="0" borderId="0" xfId="0" applyNumberFormat="1" applyBorder="1"/>
    <xf numFmtId="0" fontId="2" fillId="0" borderId="9" xfId="0" applyFont="1" applyBorder="1" applyAlignment="1">
      <alignment horizontal="right" vertical="top" wrapText="1"/>
    </xf>
    <xf numFmtId="164" fontId="5" fillId="0" borderId="9" xfId="0" applyNumberFormat="1" applyFont="1" applyBorder="1" applyAlignment="1">
      <alignment horizontal="right" vertical="top" wrapText="1"/>
    </xf>
    <xf numFmtId="0" fontId="5" fillId="0" borderId="9" xfId="0" applyFont="1" applyBorder="1" applyAlignment="1">
      <alignment horizontal="center" vertical="top" wrapText="1"/>
    </xf>
    <xf numFmtId="4" fontId="5" fillId="0" borderId="9" xfId="0" applyNumberFormat="1" applyFont="1" applyBorder="1" applyAlignment="1">
      <alignment horizontal="right" vertical="top" wrapText="1"/>
    </xf>
    <xf numFmtId="164" fontId="5" fillId="0" borderId="9" xfId="0" applyNumberFormat="1" applyFont="1" applyBorder="1" applyAlignment="1">
      <alignment vertical="top" wrapText="1"/>
    </xf>
    <xf numFmtId="4" fontId="5" fillId="0" borderId="9" xfId="0" applyNumberFormat="1" applyFont="1" applyBorder="1" applyAlignment="1">
      <alignment vertical="top" wrapText="1"/>
    </xf>
    <xf numFmtId="4" fontId="8" fillId="0" borderId="0" xfId="0" applyNumberFormat="1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justify" wrapText="1"/>
    </xf>
    <xf numFmtId="0" fontId="3" fillId="0" borderId="9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center" vertical="top" wrapText="1"/>
    </xf>
    <xf numFmtId="165" fontId="9" fillId="0" borderId="9" xfId="1" applyFont="1" applyBorder="1" applyAlignment="1" applyProtection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justify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5" fontId="9" fillId="0" borderId="0" xfId="1" applyFont="1" applyBorder="1" applyAlignment="1" applyProtection="1">
      <alignment horizontal="right" vertical="top" wrapText="1"/>
    </xf>
    <xf numFmtId="0" fontId="7" fillId="0" borderId="0" xfId="0" applyFont="1" applyBorder="1" applyAlignment="1">
      <alignment horizontal="justify" wrapText="1"/>
    </xf>
    <xf numFmtId="0" fontId="7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justify" wrapText="1"/>
    </xf>
    <xf numFmtId="0" fontId="0" fillId="0" borderId="0" xfId="0" applyFont="1" applyBorder="1" applyAlignment="1">
      <alignment horizontal="right" vertical="top" wrapText="1"/>
    </xf>
    <xf numFmtId="0" fontId="0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2"/>
  <sheetViews>
    <sheetView tabSelected="1" zoomScale="90" zoomScaleNormal="90" workbookViewId="0">
      <pane xSplit="2" ySplit="5" topLeftCell="C249" activePane="bottomRight" state="frozen"/>
      <selection pane="topRight" activeCell="C1" sqref="C1"/>
      <selection pane="bottomLeft" activeCell="A249" sqref="A249"/>
      <selection pane="bottomRight" activeCell="E271" sqref="E271"/>
    </sheetView>
  </sheetViews>
  <sheetFormatPr baseColWidth="10" defaultColWidth="10.7109375" defaultRowHeight="12.75" x14ac:dyDescent="0.2"/>
  <cols>
    <col min="1" max="1" width="3.5703125" customWidth="1"/>
    <col min="2" max="2" width="10.42578125" customWidth="1"/>
    <col min="3" max="3" width="37.140625" style="7" customWidth="1"/>
    <col min="4" max="4" width="9.5703125" style="8" customWidth="1"/>
    <col min="5" max="5" width="13.140625" style="9" customWidth="1"/>
    <col min="6" max="6" width="14" customWidth="1"/>
    <col min="7" max="7" width="8.7109375" customWidth="1"/>
    <col min="8" max="8" width="12.28515625" customWidth="1"/>
    <col min="9" max="9" width="8.5703125" customWidth="1"/>
    <col min="10" max="10" width="12.7109375" customWidth="1"/>
    <col min="11" max="11" width="8.7109375" customWidth="1"/>
    <col min="12" max="12" width="12.7109375" customWidth="1"/>
    <col min="13" max="13" width="9.140625" customWidth="1"/>
    <col min="14" max="14" width="12.7109375" customWidth="1"/>
    <col min="15" max="15" width="8.5703125" customWidth="1"/>
    <col min="16" max="16" width="12" customWidth="1"/>
    <col min="17" max="17" width="9" customWidth="1"/>
    <col min="18" max="18" width="12.7109375" customWidth="1"/>
    <col min="19" max="19" width="8.5703125" customWidth="1"/>
    <col min="20" max="20" width="14.42578125" customWidth="1"/>
    <col min="21" max="21" width="9.28515625" customWidth="1"/>
    <col min="22" max="22" width="12.85546875" customWidth="1"/>
    <col min="23" max="23" width="8.85546875" customWidth="1"/>
    <col min="24" max="24" width="12.28515625" customWidth="1"/>
    <col min="25" max="25" width="9.140625" customWidth="1"/>
    <col min="26" max="26" width="12" customWidth="1"/>
    <col min="27" max="27" width="8.5703125" customWidth="1"/>
    <col min="28" max="28" width="13.85546875" customWidth="1"/>
    <col min="29" max="29" width="9.140625" customWidth="1"/>
    <col min="30" max="30" width="12" customWidth="1"/>
    <col min="32" max="33" width="10.7109375" hidden="1"/>
  </cols>
  <sheetData>
    <row r="1" spans="1:32" ht="25.5" customHeight="1" x14ac:dyDescent="0.2"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2" ht="16.5" customHeight="1" x14ac:dyDescent="0.2">
      <c r="B2" s="5" t="s">
        <v>1</v>
      </c>
      <c r="C2" s="5"/>
      <c r="D2" s="4" t="s">
        <v>2</v>
      </c>
      <c r="E2" s="4"/>
      <c r="F2" s="4"/>
      <c r="G2" s="4"/>
      <c r="H2" s="10"/>
      <c r="I2" s="10"/>
      <c r="J2" s="11"/>
      <c r="K2" s="11"/>
      <c r="L2" s="11"/>
      <c r="M2" s="11"/>
      <c r="N2" s="12"/>
      <c r="AB2" s="13"/>
    </row>
    <row r="3" spans="1:32" ht="16.5" customHeight="1" x14ac:dyDescent="0.2">
      <c r="B3" s="5" t="s">
        <v>3</v>
      </c>
      <c r="C3" s="5"/>
      <c r="D3" s="4" t="s">
        <v>4</v>
      </c>
      <c r="E3" s="4"/>
      <c r="F3" s="4"/>
      <c r="G3" s="4"/>
      <c r="H3" s="4"/>
      <c r="I3" s="4"/>
      <c r="J3" s="11"/>
      <c r="K3" s="11"/>
      <c r="L3" s="11"/>
      <c r="M3" s="11"/>
      <c r="N3" s="12"/>
      <c r="O3" s="14"/>
      <c r="P3" s="14"/>
      <c r="Q3" s="15"/>
      <c r="R3" s="15"/>
    </row>
    <row r="4" spans="1:32" ht="17.25" customHeight="1" x14ac:dyDescent="0.2">
      <c r="B4" s="1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2"/>
    </row>
    <row r="5" spans="1:32" s="16" customFormat="1" ht="53.25" customHeight="1" x14ac:dyDescent="0.2">
      <c r="B5" s="17" t="s">
        <v>5</v>
      </c>
      <c r="C5" s="18" t="s">
        <v>6</v>
      </c>
      <c r="D5" s="19" t="s">
        <v>7</v>
      </c>
      <c r="E5" s="19" t="s">
        <v>8</v>
      </c>
      <c r="F5" s="19" t="s">
        <v>9</v>
      </c>
      <c r="G5" s="19" t="s">
        <v>10</v>
      </c>
      <c r="H5" s="20" t="s">
        <v>11</v>
      </c>
      <c r="I5" s="19" t="s">
        <v>12</v>
      </c>
      <c r="J5" s="20" t="s">
        <v>13</v>
      </c>
      <c r="K5" s="19" t="s">
        <v>14</v>
      </c>
      <c r="L5" s="20" t="s">
        <v>15</v>
      </c>
      <c r="M5" s="19" t="s">
        <v>16</v>
      </c>
      <c r="N5" s="20" t="s">
        <v>17</v>
      </c>
      <c r="O5" s="19" t="s">
        <v>18</v>
      </c>
      <c r="P5" s="20" t="s">
        <v>19</v>
      </c>
      <c r="Q5" s="19" t="s">
        <v>20</v>
      </c>
      <c r="R5" s="20" t="s">
        <v>21</v>
      </c>
      <c r="S5" s="19" t="s">
        <v>22</v>
      </c>
      <c r="T5" s="20" t="s">
        <v>23</v>
      </c>
      <c r="U5" s="19" t="s">
        <v>24</v>
      </c>
      <c r="V5" s="20" t="s">
        <v>25</v>
      </c>
      <c r="W5" s="19" t="s">
        <v>26</v>
      </c>
      <c r="X5" s="20" t="s">
        <v>27</v>
      </c>
      <c r="Y5" s="19" t="s">
        <v>28</v>
      </c>
      <c r="Z5" s="20" t="s">
        <v>29</v>
      </c>
      <c r="AA5" s="19" t="s">
        <v>30</v>
      </c>
      <c r="AB5" s="21" t="s">
        <v>31</v>
      </c>
      <c r="AC5" s="19" t="s">
        <v>32</v>
      </c>
      <c r="AD5" s="22" t="s">
        <v>33</v>
      </c>
      <c r="AF5" s="23" t="s">
        <v>34</v>
      </c>
    </row>
    <row r="6" spans="1:32" ht="17.25" customHeight="1" x14ac:dyDescent="0.2">
      <c r="A6" s="24"/>
      <c r="B6" s="25">
        <v>2000</v>
      </c>
      <c r="C6" s="25" t="s">
        <v>35</v>
      </c>
      <c r="D6" s="26"/>
      <c r="E6" s="27"/>
      <c r="F6" s="28">
        <f>SUM(F7+F130+F135+F151+F155+F161)</f>
        <v>2584764.5155999996</v>
      </c>
      <c r="G6" s="28"/>
      <c r="H6" s="28">
        <f>SUM(H7+H130+H135+H148+H151+H155+H161)</f>
        <v>204654.53632000001</v>
      </c>
      <c r="I6" s="28"/>
      <c r="J6" s="28">
        <f>SUM(J7+J130+J135+J148+J151+J155+J161)</f>
        <v>364108.35199999996</v>
      </c>
      <c r="K6" s="28"/>
      <c r="L6" s="28">
        <f>SUM(L7+L130+L135+L148+L151+L155+L161)</f>
        <v>223073.69944</v>
      </c>
      <c r="M6" s="28"/>
      <c r="N6" s="28">
        <f>SUM(N7+N130+N135+N148+N151+N155+N161)</f>
        <v>198586.69520000002</v>
      </c>
      <c r="O6" s="28"/>
      <c r="P6" s="28">
        <f>SUM(P7+P130+P135+P148+P151+P155+P161)</f>
        <v>191212.27343999999</v>
      </c>
      <c r="Q6" s="28"/>
      <c r="R6" s="28">
        <f>SUM(R7+R130+R135+R148+R151+R155+R161)</f>
        <v>211335.73759999999</v>
      </c>
      <c r="S6" s="28"/>
      <c r="T6" s="28">
        <f>SUM(T7+T130+T135+T148+T151+T155+T161)</f>
        <v>200164.6808</v>
      </c>
      <c r="U6" s="28"/>
      <c r="V6" s="28">
        <f>SUM(V7+V130+V135+V148+V151+V155+V161)</f>
        <v>190063.15328</v>
      </c>
      <c r="W6" s="28"/>
      <c r="X6" s="28">
        <f>SUM(X7+X130+X135+X148+X151+X155+X161)</f>
        <v>199558.48063999999</v>
      </c>
      <c r="Y6" s="28"/>
      <c r="Z6" s="28">
        <f>SUM(Z7+Z130+Z135+Z148+Z151+Z155+Z161)</f>
        <v>215016.31391999999</v>
      </c>
      <c r="AA6" s="28"/>
      <c r="AB6" s="28">
        <f>SUM(AB7+AB130+AB135+AB148+AB151+AB155+AB161)</f>
        <v>191001.88175999999</v>
      </c>
      <c r="AC6" s="28"/>
      <c r="AD6" s="28">
        <f>SUM(AD7+AD130+AD135+AD148+AD151+AD155+AD161)</f>
        <v>189268.71120000002</v>
      </c>
      <c r="AE6" s="29"/>
    </row>
    <row r="7" spans="1:32" ht="22.5" customHeight="1" x14ac:dyDescent="0.2">
      <c r="A7" s="24"/>
      <c r="B7" s="30">
        <v>2100</v>
      </c>
      <c r="C7" s="31" t="s">
        <v>36</v>
      </c>
      <c r="D7" s="32"/>
      <c r="E7" s="33"/>
      <c r="F7" s="34">
        <f>F8+F73+F75+F77+F90+F92</f>
        <v>852939.40799999982</v>
      </c>
      <c r="G7" s="34"/>
      <c r="H7" s="34">
        <f>H8+H73+H75+H77+H90+H92</f>
        <v>63534.582720000006</v>
      </c>
      <c r="I7" s="34"/>
      <c r="J7" s="34">
        <f>J8+J73+J75+J77+J90+J92</f>
        <v>95452.755999999994</v>
      </c>
      <c r="K7" s="34"/>
      <c r="L7" s="34">
        <f>L8+L73+L75+L77+L90+L92</f>
        <v>68576.117440000002</v>
      </c>
      <c r="M7" s="34"/>
      <c r="N7" s="34">
        <f>N8+N73+N75+N77+N90+N92</f>
        <v>65436.783200000005</v>
      </c>
      <c r="O7" s="34"/>
      <c r="P7" s="34">
        <f>P8+P73+P75+P77+P90+P92</f>
        <v>61898.973440000002</v>
      </c>
      <c r="Q7" s="34"/>
      <c r="R7" s="34">
        <f>R8+R73+R75+R77+R90+R92</f>
        <v>83785.525599999979</v>
      </c>
      <c r="S7" s="34"/>
      <c r="T7" s="34">
        <f>T8+T73+T75+T77+T90+T92</f>
        <v>67490.468800000002</v>
      </c>
      <c r="U7" s="34"/>
      <c r="V7" s="34">
        <f>V8+V73+V75+V77+V90+V92</f>
        <v>62512.941279999999</v>
      </c>
      <c r="W7" s="34"/>
      <c r="X7" s="34">
        <f>X8+X73+X75+X77+X90+X92</f>
        <v>71868.268639999995</v>
      </c>
      <c r="Y7" s="34"/>
      <c r="Z7" s="34">
        <f>Z8+Z73+Z75+Z77+Z90+Z92</f>
        <v>87466.101920000001</v>
      </c>
      <c r="AA7" s="34"/>
      <c r="AB7" s="34">
        <f>AB8+AB73+AB75+AB77+AB90+AB92</f>
        <v>63201.829759999993</v>
      </c>
      <c r="AC7" s="34"/>
      <c r="AD7" s="34">
        <f>AD8+AD73+AD75+AD77+AD90+AD92</f>
        <v>61715.059200000003</v>
      </c>
      <c r="AE7" s="29"/>
    </row>
    <row r="8" spans="1:32" ht="23.25" customHeight="1" x14ac:dyDescent="0.2">
      <c r="A8" s="24"/>
      <c r="B8" s="35">
        <v>211</v>
      </c>
      <c r="C8" s="31" t="s">
        <v>37</v>
      </c>
      <c r="D8" s="35"/>
      <c r="E8" s="30"/>
      <c r="F8" s="36">
        <f>SUM(F9:F72)</f>
        <v>583998.27871999971</v>
      </c>
      <c r="G8" s="34"/>
      <c r="H8" s="36">
        <f>SUM(H9:H72)</f>
        <v>50480.55520000001</v>
      </c>
      <c r="I8" s="34"/>
      <c r="J8" s="36">
        <f>SUM(J9:J72)</f>
        <v>49987.69904</v>
      </c>
      <c r="K8" s="34"/>
      <c r="L8" s="36">
        <f>SUM(L9:L72)</f>
        <v>47363.472800000003</v>
      </c>
      <c r="M8" s="34"/>
      <c r="N8" s="36">
        <f>SUM(N9:N72)</f>
        <v>48245.694560000004</v>
      </c>
      <c r="O8" s="34"/>
      <c r="P8" s="36">
        <f>SUM(P9:P72)</f>
        <v>49134.945919999998</v>
      </c>
      <c r="Q8" s="34"/>
      <c r="R8" s="36">
        <f>SUM(R9:R72)</f>
        <v>49177.318399999996</v>
      </c>
      <c r="S8" s="34"/>
      <c r="T8" s="36">
        <f>SUM(T9:T72)</f>
        <v>47635.024160000001</v>
      </c>
      <c r="U8" s="34"/>
      <c r="V8" s="36">
        <f>SUM(V9:V72)</f>
        <v>49071.721279999998</v>
      </c>
      <c r="W8" s="34"/>
      <c r="X8" s="36">
        <f>SUM(X9:X72)</f>
        <v>48150.20336</v>
      </c>
      <c r="Y8" s="34"/>
      <c r="Z8" s="36">
        <f>SUM(Z9:Z72)</f>
        <v>49839.423200000005</v>
      </c>
      <c r="AA8" s="34"/>
      <c r="AB8" s="36">
        <f>SUM(AB9:AB72)</f>
        <v>47198.381600000001</v>
      </c>
      <c r="AC8" s="34"/>
      <c r="AD8" s="36">
        <f>SUM(AD9:AD72)</f>
        <v>47713.839200000002</v>
      </c>
      <c r="AE8" s="29"/>
    </row>
    <row r="9" spans="1:32" ht="15" customHeight="1" x14ac:dyDescent="0.2">
      <c r="A9" s="37"/>
      <c r="B9" s="38"/>
      <c r="C9" s="39" t="s">
        <v>38</v>
      </c>
      <c r="D9" s="40">
        <f t="shared" ref="D9:D40" si="0">G9+I9+K9+M9+O9+Q9+S9+U9+W9+Y9+AA9+AC9</f>
        <v>60</v>
      </c>
      <c r="E9" s="41" t="s">
        <v>39</v>
      </c>
      <c r="F9" s="42">
        <f t="shared" ref="F9:F40" si="1">H9+J9+L9+N9+P9+R9+T9+V9+X9+Z9+AB9+AD9</f>
        <v>816.82560000000001</v>
      </c>
      <c r="G9" s="43">
        <v>5</v>
      </c>
      <c r="H9" s="44">
        <f t="shared" ref="H9:H40" si="2">(G9*AF9)*1.16</f>
        <v>68.068799999999982</v>
      </c>
      <c r="I9" s="43">
        <v>5</v>
      </c>
      <c r="J9" s="44">
        <f t="shared" ref="J9:J40" si="3">(I9*AF9)*1.16</f>
        <v>68.068799999999982</v>
      </c>
      <c r="K9" s="43">
        <v>5</v>
      </c>
      <c r="L9" s="44">
        <f t="shared" ref="L9:L40" si="4">(K9*AF9)*1.16</f>
        <v>68.068799999999982</v>
      </c>
      <c r="M9" s="43">
        <v>5</v>
      </c>
      <c r="N9" s="44">
        <f t="shared" ref="N9:N40" si="5">(M9*AF9)*1.16</f>
        <v>68.068799999999982</v>
      </c>
      <c r="O9" s="43">
        <v>5</v>
      </c>
      <c r="P9" s="44">
        <f t="shared" ref="P9:P40" si="6">(O9*AF9)*1.16</f>
        <v>68.068799999999982</v>
      </c>
      <c r="Q9" s="43">
        <v>5</v>
      </c>
      <c r="R9" s="44">
        <f t="shared" ref="R9:R40" si="7">(Q9*AF9)*1.16</f>
        <v>68.068799999999982</v>
      </c>
      <c r="S9" s="43">
        <v>5</v>
      </c>
      <c r="T9" s="44">
        <f t="shared" ref="T9:T40" si="8">(S9*AF9)*1.16</f>
        <v>68.068799999999982</v>
      </c>
      <c r="U9" s="43">
        <v>5</v>
      </c>
      <c r="V9" s="44">
        <f t="shared" ref="V9:V40" si="9">(U9*AF9)*1.16</f>
        <v>68.068799999999982</v>
      </c>
      <c r="W9" s="43">
        <v>5</v>
      </c>
      <c r="X9" s="44">
        <f t="shared" ref="X9:X40" si="10">(W9*AF9)*1.16</f>
        <v>68.068799999999982</v>
      </c>
      <c r="Y9" s="43">
        <v>5</v>
      </c>
      <c r="Z9" s="44">
        <f t="shared" ref="Z9:Z40" si="11">(Y9*AF9)*1.16</f>
        <v>68.068799999999982</v>
      </c>
      <c r="AA9" s="43">
        <v>5</v>
      </c>
      <c r="AB9" s="44">
        <f t="shared" ref="AB9:AB40" si="12">(AA9*AF9)*1.16</f>
        <v>68.068799999999982</v>
      </c>
      <c r="AC9" s="43">
        <v>5</v>
      </c>
      <c r="AD9" s="44">
        <f t="shared" ref="AD9:AD40" si="13">(AC9*AF9)*1.16</f>
        <v>68.068799999999982</v>
      </c>
      <c r="AE9" s="29"/>
      <c r="AF9">
        <f>9.78*1.2</f>
        <v>11.735999999999999</v>
      </c>
    </row>
    <row r="10" spans="1:32" ht="13.5" customHeight="1" x14ac:dyDescent="0.2">
      <c r="A10" s="37"/>
      <c r="B10" s="38"/>
      <c r="C10" s="39" t="s">
        <v>40</v>
      </c>
      <c r="D10" s="40">
        <f t="shared" si="0"/>
        <v>1500</v>
      </c>
      <c r="E10" s="41" t="s">
        <v>39</v>
      </c>
      <c r="F10" s="42">
        <f t="shared" si="1"/>
        <v>7349.7599999999975</v>
      </c>
      <c r="G10" s="43">
        <v>125</v>
      </c>
      <c r="H10" s="44">
        <f t="shared" si="2"/>
        <v>612.4799999999999</v>
      </c>
      <c r="I10" s="43">
        <v>125</v>
      </c>
      <c r="J10" s="44">
        <f t="shared" si="3"/>
        <v>612.4799999999999</v>
      </c>
      <c r="K10" s="43">
        <v>125</v>
      </c>
      <c r="L10" s="44">
        <f t="shared" si="4"/>
        <v>612.4799999999999</v>
      </c>
      <c r="M10" s="43">
        <v>125</v>
      </c>
      <c r="N10" s="44">
        <f t="shared" si="5"/>
        <v>612.4799999999999</v>
      </c>
      <c r="O10" s="43">
        <v>125</v>
      </c>
      <c r="P10" s="44">
        <f t="shared" si="6"/>
        <v>612.4799999999999</v>
      </c>
      <c r="Q10" s="43">
        <v>125</v>
      </c>
      <c r="R10" s="44">
        <f t="shared" si="7"/>
        <v>612.4799999999999</v>
      </c>
      <c r="S10" s="43">
        <v>125</v>
      </c>
      <c r="T10" s="44">
        <f t="shared" si="8"/>
        <v>612.4799999999999</v>
      </c>
      <c r="U10" s="43">
        <v>125</v>
      </c>
      <c r="V10" s="44">
        <f t="shared" si="9"/>
        <v>612.4799999999999</v>
      </c>
      <c r="W10" s="43">
        <v>125</v>
      </c>
      <c r="X10" s="44">
        <f t="shared" si="10"/>
        <v>612.4799999999999</v>
      </c>
      <c r="Y10" s="43">
        <v>125</v>
      </c>
      <c r="Z10" s="44">
        <f t="shared" si="11"/>
        <v>612.4799999999999</v>
      </c>
      <c r="AA10" s="43">
        <v>125</v>
      </c>
      <c r="AB10" s="44">
        <f t="shared" si="12"/>
        <v>612.4799999999999</v>
      </c>
      <c r="AC10" s="43">
        <v>125</v>
      </c>
      <c r="AD10" s="44">
        <f t="shared" si="13"/>
        <v>612.4799999999999</v>
      </c>
      <c r="AE10" s="29"/>
      <c r="AF10">
        <f>3.52*1.2</f>
        <v>4.2240000000000002</v>
      </c>
    </row>
    <row r="11" spans="1:32" ht="25.5" customHeight="1" x14ac:dyDescent="0.2">
      <c r="A11" s="37"/>
      <c r="B11" s="38"/>
      <c r="C11" s="39" t="s">
        <v>41</v>
      </c>
      <c r="D11" s="45">
        <f t="shared" si="0"/>
        <v>900</v>
      </c>
      <c r="E11" s="41" t="s">
        <v>39</v>
      </c>
      <c r="F11" s="42">
        <f t="shared" si="1"/>
        <v>4409.8559999999989</v>
      </c>
      <c r="G11" s="43">
        <v>75</v>
      </c>
      <c r="H11" s="44">
        <f t="shared" si="2"/>
        <v>367.488</v>
      </c>
      <c r="I11" s="43">
        <v>75</v>
      </c>
      <c r="J11" s="44">
        <f t="shared" si="3"/>
        <v>367.488</v>
      </c>
      <c r="K11" s="43">
        <v>75</v>
      </c>
      <c r="L11" s="44">
        <f t="shared" si="4"/>
        <v>367.488</v>
      </c>
      <c r="M11" s="43">
        <v>75</v>
      </c>
      <c r="N11" s="44">
        <f t="shared" si="5"/>
        <v>367.488</v>
      </c>
      <c r="O11" s="43">
        <v>75</v>
      </c>
      <c r="P11" s="44">
        <f t="shared" si="6"/>
        <v>367.488</v>
      </c>
      <c r="Q11" s="43">
        <v>75</v>
      </c>
      <c r="R11" s="44">
        <f t="shared" si="7"/>
        <v>367.488</v>
      </c>
      <c r="S11" s="43">
        <v>75</v>
      </c>
      <c r="T11" s="44">
        <f t="shared" si="8"/>
        <v>367.488</v>
      </c>
      <c r="U11" s="43">
        <v>75</v>
      </c>
      <c r="V11" s="44">
        <f t="shared" si="9"/>
        <v>367.488</v>
      </c>
      <c r="W11" s="43">
        <v>75</v>
      </c>
      <c r="X11" s="44">
        <f t="shared" si="10"/>
        <v>367.488</v>
      </c>
      <c r="Y11" s="43">
        <v>75</v>
      </c>
      <c r="Z11" s="44">
        <f t="shared" si="11"/>
        <v>367.488</v>
      </c>
      <c r="AA11" s="43">
        <v>75</v>
      </c>
      <c r="AB11" s="44">
        <f t="shared" si="12"/>
        <v>367.488</v>
      </c>
      <c r="AC11" s="43">
        <v>75</v>
      </c>
      <c r="AD11" s="44">
        <f t="shared" si="13"/>
        <v>367.488</v>
      </c>
      <c r="AE11" s="29"/>
      <c r="AF11">
        <f>3.52*1.2</f>
        <v>4.2240000000000002</v>
      </c>
    </row>
    <row r="12" spans="1:32" ht="12.75" customHeight="1" x14ac:dyDescent="0.2">
      <c r="A12" s="37"/>
      <c r="B12" s="46"/>
      <c r="C12" s="39" t="s">
        <v>42</v>
      </c>
      <c r="D12" s="45">
        <f t="shared" si="0"/>
        <v>300</v>
      </c>
      <c r="E12" s="41" t="s">
        <v>39</v>
      </c>
      <c r="F12" s="42">
        <f t="shared" si="1"/>
        <v>1469.9520000000002</v>
      </c>
      <c r="G12" s="43">
        <v>25</v>
      </c>
      <c r="H12" s="44">
        <f t="shared" si="2"/>
        <v>122.496</v>
      </c>
      <c r="I12" s="43">
        <v>25</v>
      </c>
      <c r="J12" s="44">
        <f t="shared" si="3"/>
        <v>122.496</v>
      </c>
      <c r="K12" s="43">
        <v>25</v>
      </c>
      <c r="L12" s="44">
        <f t="shared" si="4"/>
        <v>122.496</v>
      </c>
      <c r="M12" s="43">
        <v>25</v>
      </c>
      <c r="N12" s="44">
        <f t="shared" si="5"/>
        <v>122.496</v>
      </c>
      <c r="O12" s="43">
        <v>25</v>
      </c>
      <c r="P12" s="44">
        <f t="shared" si="6"/>
        <v>122.496</v>
      </c>
      <c r="Q12" s="43">
        <v>25</v>
      </c>
      <c r="R12" s="44">
        <f t="shared" si="7"/>
        <v>122.496</v>
      </c>
      <c r="S12" s="43">
        <v>25</v>
      </c>
      <c r="T12" s="44">
        <f t="shared" si="8"/>
        <v>122.496</v>
      </c>
      <c r="U12" s="43">
        <v>25</v>
      </c>
      <c r="V12" s="44">
        <f t="shared" si="9"/>
        <v>122.496</v>
      </c>
      <c r="W12" s="43">
        <v>25</v>
      </c>
      <c r="X12" s="44">
        <f t="shared" si="10"/>
        <v>122.496</v>
      </c>
      <c r="Y12" s="43">
        <v>25</v>
      </c>
      <c r="Z12" s="44">
        <f t="shared" si="11"/>
        <v>122.496</v>
      </c>
      <c r="AA12" s="43">
        <v>25</v>
      </c>
      <c r="AB12" s="44">
        <f t="shared" si="12"/>
        <v>122.496</v>
      </c>
      <c r="AC12" s="43">
        <v>25</v>
      </c>
      <c r="AD12" s="44">
        <f t="shared" si="13"/>
        <v>122.496</v>
      </c>
      <c r="AE12" s="29"/>
      <c r="AF12">
        <f>3.52*1.2</f>
        <v>4.2240000000000002</v>
      </c>
    </row>
    <row r="13" spans="1:32" ht="12.75" customHeight="1" x14ac:dyDescent="0.2">
      <c r="A13" s="37"/>
      <c r="B13" s="38"/>
      <c r="C13" s="39" t="s">
        <v>43</v>
      </c>
      <c r="D13" s="45">
        <f t="shared" si="0"/>
        <v>200</v>
      </c>
      <c r="E13" s="41" t="s">
        <v>39</v>
      </c>
      <c r="F13" s="42">
        <f t="shared" si="1"/>
        <v>1244.4479999999996</v>
      </c>
      <c r="G13" s="43">
        <v>15</v>
      </c>
      <c r="H13" s="44">
        <f t="shared" si="2"/>
        <v>93.33359999999999</v>
      </c>
      <c r="I13" s="43">
        <v>20</v>
      </c>
      <c r="J13" s="44">
        <f t="shared" si="3"/>
        <v>124.44479999999999</v>
      </c>
      <c r="K13" s="43">
        <v>15</v>
      </c>
      <c r="L13" s="44">
        <f t="shared" si="4"/>
        <v>93.33359999999999</v>
      </c>
      <c r="M13" s="43">
        <v>15</v>
      </c>
      <c r="N13" s="44">
        <f t="shared" si="5"/>
        <v>93.33359999999999</v>
      </c>
      <c r="O13" s="43">
        <v>20</v>
      </c>
      <c r="P13" s="44">
        <f t="shared" si="6"/>
        <v>124.44479999999999</v>
      </c>
      <c r="Q13" s="43">
        <v>15</v>
      </c>
      <c r="R13" s="44">
        <f t="shared" si="7"/>
        <v>93.33359999999999</v>
      </c>
      <c r="S13" s="43">
        <v>15</v>
      </c>
      <c r="T13" s="44">
        <f t="shared" si="8"/>
        <v>93.33359999999999</v>
      </c>
      <c r="U13" s="43">
        <v>20</v>
      </c>
      <c r="V13" s="44">
        <f t="shared" si="9"/>
        <v>124.44479999999999</v>
      </c>
      <c r="W13" s="43">
        <v>15</v>
      </c>
      <c r="X13" s="44">
        <f t="shared" si="10"/>
        <v>93.33359999999999</v>
      </c>
      <c r="Y13" s="43">
        <v>20</v>
      </c>
      <c r="Z13" s="44">
        <f t="shared" si="11"/>
        <v>124.44479999999999</v>
      </c>
      <c r="AA13" s="43">
        <v>15</v>
      </c>
      <c r="AB13" s="44">
        <f t="shared" si="12"/>
        <v>93.33359999999999</v>
      </c>
      <c r="AC13" s="43">
        <v>15</v>
      </c>
      <c r="AD13" s="44">
        <f t="shared" si="13"/>
        <v>93.33359999999999</v>
      </c>
      <c r="AE13" s="29"/>
      <c r="AF13">
        <f>4.47*1.2</f>
        <v>5.3639999999999999</v>
      </c>
    </row>
    <row r="14" spans="1:32" ht="12" customHeight="1" x14ac:dyDescent="0.2">
      <c r="A14" s="37"/>
      <c r="B14" s="38"/>
      <c r="C14" s="39" t="s">
        <v>44</v>
      </c>
      <c r="D14" s="45">
        <f t="shared" si="0"/>
        <v>3</v>
      </c>
      <c r="E14" s="41" t="s">
        <v>39</v>
      </c>
      <c r="F14" s="42">
        <f t="shared" si="1"/>
        <v>102.60432</v>
      </c>
      <c r="G14" s="43">
        <v>0</v>
      </c>
      <c r="H14" s="44">
        <f t="shared" si="2"/>
        <v>0</v>
      </c>
      <c r="I14" s="43">
        <v>2</v>
      </c>
      <c r="J14" s="44">
        <f t="shared" si="3"/>
        <v>68.402879999999996</v>
      </c>
      <c r="K14" s="43">
        <v>0</v>
      </c>
      <c r="L14" s="44">
        <f t="shared" si="4"/>
        <v>0</v>
      </c>
      <c r="M14" s="43">
        <v>0</v>
      </c>
      <c r="N14" s="44">
        <f t="shared" si="5"/>
        <v>0</v>
      </c>
      <c r="O14" s="43">
        <v>1</v>
      </c>
      <c r="P14" s="44">
        <f t="shared" si="6"/>
        <v>34.201439999999998</v>
      </c>
      <c r="Q14" s="43">
        <v>0</v>
      </c>
      <c r="R14" s="44">
        <f t="shared" si="7"/>
        <v>0</v>
      </c>
      <c r="S14" s="43">
        <v>0</v>
      </c>
      <c r="T14" s="44">
        <f t="shared" si="8"/>
        <v>0</v>
      </c>
      <c r="U14" s="43">
        <v>0</v>
      </c>
      <c r="V14" s="44">
        <f t="shared" si="9"/>
        <v>0</v>
      </c>
      <c r="W14" s="43">
        <v>0</v>
      </c>
      <c r="X14" s="44">
        <f t="shared" si="10"/>
        <v>0</v>
      </c>
      <c r="Y14" s="43">
        <v>0</v>
      </c>
      <c r="Z14" s="44">
        <f t="shared" si="11"/>
        <v>0</v>
      </c>
      <c r="AA14" s="43">
        <v>0</v>
      </c>
      <c r="AB14" s="44">
        <f t="shared" si="12"/>
        <v>0</v>
      </c>
      <c r="AC14" s="43">
        <v>0</v>
      </c>
      <c r="AD14" s="44">
        <f t="shared" si="13"/>
        <v>0</v>
      </c>
      <c r="AE14" s="29"/>
      <c r="AF14">
        <f>24.57*1.2</f>
        <v>29.483999999999998</v>
      </c>
    </row>
    <row r="15" spans="1:32" ht="12.75" customHeight="1" x14ac:dyDescent="0.2">
      <c r="A15" s="37"/>
      <c r="B15" s="38"/>
      <c r="C15" s="47" t="s">
        <v>45</v>
      </c>
      <c r="D15" s="45">
        <f t="shared" si="0"/>
        <v>77</v>
      </c>
      <c r="E15" s="41" t="s">
        <v>46</v>
      </c>
      <c r="F15" s="42">
        <f t="shared" si="1"/>
        <v>4561.7510400000001</v>
      </c>
      <c r="G15" s="43">
        <v>8</v>
      </c>
      <c r="H15" s="44">
        <f t="shared" si="2"/>
        <v>473.94815999999997</v>
      </c>
      <c r="I15" s="43">
        <v>6</v>
      </c>
      <c r="J15" s="44">
        <f t="shared" si="3"/>
        <v>355.46111999999999</v>
      </c>
      <c r="K15" s="43">
        <v>6</v>
      </c>
      <c r="L15" s="44">
        <f t="shared" si="4"/>
        <v>355.46111999999999</v>
      </c>
      <c r="M15" s="43">
        <v>7</v>
      </c>
      <c r="N15" s="44">
        <f t="shared" si="5"/>
        <v>414.70463999999998</v>
      </c>
      <c r="O15" s="43">
        <v>6</v>
      </c>
      <c r="P15" s="44">
        <f t="shared" si="6"/>
        <v>355.46111999999999</v>
      </c>
      <c r="Q15" s="43">
        <v>6</v>
      </c>
      <c r="R15" s="44">
        <f t="shared" si="7"/>
        <v>355.46111999999999</v>
      </c>
      <c r="S15" s="43">
        <v>6</v>
      </c>
      <c r="T15" s="44">
        <f t="shared" si="8"/>
        <v>355.46111999999999</v>
      </c>
      <c r="U15" s="43">
        <v>6</v>
      </c>
      <c r="V15" s="44">
        <f t="shared" si="9"/>
        <v>355.46111999999999</v>
      </c>
      <c r="W15" s="43">
        <v>8</v>
      </c>
      <c r="X15" s="44">
        <f t="shared" si="10"/>
        <v>473.94815999999997</v>
      </c>
      <c r="Y15" s="43">
        <v>6</v>
      </c>
      <c r="Z15" s="44">
        <f t="shared" si="11"/>
        <v>355.46111999999999</v>
      </c>
      <c r="AA15" s="43">
        <v>6</v>
      </c>
      <c r="AB15" s="44">
        <f t="shared" si="12"/>
        <v>355.46111999999999</v>
      </c>
      <c r="AC15" s="43">
        <v>6</v>
      </c>
      <c r="AD15" s="44">
        <f t="shared" si="13"/>
        <v>355.46111999999999</v>
      </c>
      <c r="AE15" s="29"/>
      <c r="AF15">
        <f>42.56*1.2</f>
        <v>51.072000000000003</v>
      </c>
    </row>
    <row r="16" spans="1:32" ht="12.75" customHeight="1" x14ac:dyDescent="0.2">
      <c r="A16" s="37"/>
      <c r="B16" s="38"/>
      <c r="C16" s="47" t="s">
        <v>47</v>
      </c>
      <c r="D16" s="45">
        <f t="shared" si="0"/>
        <v>50</v>
      </c>
      <c r="E16" s="41" t="s">
        <v>39</v>
      </c>
      <c r="F16" s="42">
        <f t="shared" si="1"/>
        <v>2319.9999999999995</v>
      </c>
      <c r="G16" s="43">
        <v>6</v>
      </c>
      <c r="H16" s="44">
        <f t="shared" si="2"/>
        <v>278.39999999999998</v>
      </c>
      <c r="I16" s="43">
        <v>4</v>
      </c>
      <c r="J16" s="44">
        <f t="shared" si="3"/>
        <v>185.6</v>
      </c>
      <c r="K16" s="43">
        <v>4</v>
      </c>
      <c r="L16" s="44">
        <f t="shared" si="4"/>
        <v>185.6</v>
      </c>
      <c r="M16" s="43">
        <v>4</v>
      </c>
      <c r="N16" s="44">
        <f t="shared" si="5"/>
        <v>185.6</v>
      </c>
      <c r="O16" s="43">
        <v>4</v>
      </c>
      <c r="P16" s="44">
        <f t="shared" si="6"/>
        <v>185.6</v>
      </c>
      <c r="Q16" s="43">
        <v>4</v>
      </c>
      <c r="R16" s="44">
        <f t="shared" si="7"/>
        <v>185.6</v>
      </c>
      <c r="S16" s="43">
        <v>4</v>
      </c>
      <c r="T16" s="44">
        <f t="shared" si="8"/>
        <v>185.6</v>
      </c>
      <c r="U16" s="43">
        <v>4</v>
      </c>
      <c r="V16" s="44">
        <f t="shared" si="9"/>
        <v>185.6</v>
      </c>
      <c r="W16" s="43">
        <v>4</v>
      </c>
      <c r="X16" s="44">
        <f t="shared" si="10"/>
        <v>185.6</v>
      </c>
      <c r="Y16" s="43">
        <v>4</v>
      </c>
      <c r="Z16" s="44">
        <f t="shared" si="11"/>
        <v>185.6</v>
      </c>
      <c r="AA16" s="43">
        <v>4</v>
      </c>
      <c r="AB16" s="44">
        <f t="shared" si="12"/>
        <v>185.6</v>
      </c>
      <c r="AC16" s="43">
        <v>4</v>
      </c>
      <c r="AD16" s="44">
        <f t="shared" si="13"/>
        <v>185.6</v>
      </c>
      <c r="AE16" s="29"/>
      <c r="AF16">
        <v>40</v>
      </c>
    </row>
    <row r="17" spans="1:32" ht="12.75" customHeight="1" x14ac:dyDescent="0.2">
      <c r="A17" s="37"/>
      <c r="B17" s="38"/>
      <c r="C17" s="47" t="s">
        <v>48</v>
      </c>
      <c r="D17" s="45">
        <f t="shared" si="0"/>
        <v>360</v>
      </c>
      <c r="E17" s="41" t="s">
        <v>39</v>
      </c>
      <c r="F17" s="42">
        <f t="shared" si="1"/>
        <v>46749.484799999984</v>
      </c>
      <c r="G17" s="43">
        <v>30</v>
      </c>
      <c r="H17" s="44">
        <f t="shared" si="2"/>
        <v>3895.7903999999999</v>
      </c>
      <c r="I17" s="43">
        <v>30</v>
      </c>
      <c r="J17" s="44">
        <f t="shared" si="3"/>
        <v>3895.7903999999999</v>
      </c>
      <c r="K17" s="43">
        <v>30</v>
      </c>
      <c r="L17" s="44">
        <f t="shared" si="4"/>
        <v>3895.7903999999999</v>
      </c>
      <c r="M17" s="43">
        <v>30</v>
      </c>
      <c r="N17" s="44">
        <f t="shared" si="5"/>
        <v>3895.7903999999999</v>
      </c>
      <c r="O17" s="43">
        <v>30</v>
      </c>
      <c r="P17" s="44">
        <f t="shared" si="6"/>
        <v>3895.7903999999999</v>
      </c>
      <c r="Q17" s="43">
        <v>30</v>
      </c>
      <c r="R17" s="44">
        <f t="shared" si="7"/>
        <v>3895.7903999999999</v>
      </c>
      <c r="S17" s="43">
        <v>30</v>
      </c>
      <c r="T17" s="44">
        <f t="shared" si="8"/>
        <v>3895.7903999999999</v>
      </c>
      <c r="U17" s="43">
        <v>30</v>
      </c>
      <c r="V17" s="44">
        <f t="shared" si="9"/>
        <v>3895.7903999999999</v>
      </c>
      <c r="W17" s="43">
        <v>30</v>
      </c>
      <c r="X17" s="44">
        <f t="shared" si="10"/>
        <v>3895.7903999999999</v>
      </c>
      <c r="Y17" s="43">
        <v>30</v>
      </c>
      <c r="Z17" s="44">
        <f t="shared" si="11"/>
        <v>3895.7903999999999</v>
      </c>
      <c r="AA17" s="43">
        <v>30</v>
      </c>
      <c r="AB17" s="44">
        <f t="shared" si="12"/>
        <v>3895.7903999999999</v>
      </c>
      <c r="AC17" s="43">
        <v>30</v>
      </c>
      <c r="AD17" s="44">
        <f t="shared" si="13"/>
        <v>3895.7903999999999</v>
      </c>
      <c r="AE17" s="29"/>
      <c r="AF17">
        <f>93.29*1.2</f>
        <v>111.94800000000001</v>
      </c>
    </row>
    <row r="18" spans="1:32" ht="12.75" customHeight="1" x14ac:dyDescent="0.2">
      <c r="A18" s="37"/>
      <c r="B18" s="38"/>
      <c r="C18" s="47" t="s">
        <v>49</v>
      </c>
      <c r="D18" s="45">
        <f t="shared" si="0"/>
        <v>5</v>
      </c>
      <c r="E18" s="41" t="s">
        <v>39</v>
      </c>
      <c r="F18" s="42">
        <f t="shared" si="1"/>
        <v>306.23999999999995</v>
      </c>
      <c r="G18" s="43">
        <v>5</v>
      </c>
      <c r="H18" s="44">
        <f t="shared" si="2"/>
        <v>306.23999999999995</v>
      </c>
      <c r="I18" s="43">
        <v>0</v>
      </c>
      <c r="J18" s="44">
        <f t="shared" si="3"/>
        <v>0</v>
      </c>
      <c r="K18" s="43">
        <v>0</v>
      </c>
      <c r="L18" s="44">
        <f t="shared" si="4"/>
        <v>0</v>
      </c>
      <c r="M18" s="43">
        <v>0</v>
      </c>
      <c r="N18" s="44">
        <f t="shared" si="5"/>
        <v>0</v>
      </c>
      <c r="O18" s="43">
        <v>0</v>
      </c>
      <c r="P18" s="44">
        <f t="shared" si="6"/>
        <v>0</v>
      </c>
      <c r="Q18" s="43">
        <v>0</v>
      </c>
      <c r="R18" s="44">
        <f t="shared" si="7"/>
        <v>0</v>
      </c>
      <c r="S18" s="43">
        <v>0</v>
      </c>
      <c r="T18" s="44">
        <f t="shared" si="8"/>
        <v>0</v>
      </c>
      <c r="U18" s="43">
        <v>0</v>
      </c>
      <c r="V18" s="44">
        <f t="shared" si="9"/>
        <v>0</v>
      </c>
      <c r="W18" s="43">
        <v>0</v>
      </c>
      <c r="X18" s="44">
        <f t="shared" si="10"/>
        <v>0</v>
      </c>
      <c r="Y18" s="43">
        <v>0</v>
      </c>
      <c r="Z18" s="44">
        <f t="shared" si="11"/>
        <v>0</v>
      </c>
      <c r="AA18" s="43">
        <v>0</v>
      </c>
      <c r="AB18" s="44">
        <f t="shared" si="12"/>
        <v>0</v>
      </c>
      <c r="AC18" s="43">
        <v>0</v>
      </c>
      <c r="AD18" s="44">
        <f t="shared" si="13"/>
        <v>0</v>
      </c>
      <c r="AE18" s="29"/>
      <c r="AF18">
        <v>52.8</v>
      </c>
    </row>
    <row r="19" spans="1:32" ht="12.75" customHeight="1" x14ac:dyDescent="0.2">
      <c r="A19" s="37"/>
      <c r="B19" s="38"/>
      <c r="C19" s="47" t="s">
        <v>50</v>
      </c>
      <c r="D19" s="45">
        <f t="shared" si="0"/>
        <v>10</v>
      </c>
      <c r="E19" s="41" t="s">
        <v>39</v>
      </c>
      <c r="F19" s="42">
        <f t="shared" si="1"/>
        <v>1264.3999999999999</v>
      </c>
      <c r="G19" s="43">
        <v>10</v>
      </c>
      <c r="H19" s="44">
        <f t="shared" si="2"/>
        <v>1264.3999999999999</v>
      </c>
      <c r="I19" s="43">
        <v>0</v>
      </c>
      <c r="J19" s="44">
        <f t="shared" si="3"/>
        <v>0</v>
      </c>
      <c r="K19" s="43">
        <v>0</v>
      </c>
      <c r="L19" s="44">
        <f t="shared" si="4"/>
        <v>0</v>
      </c>
      <c r="M19" s="43">
        <v>0</v>
      </c>
      <c r="N19" s="44">
        <f t="shared" si="5"/>
        <v>0</v>
      </c>
      <c r="O19" s="43">
        <v>0</v>
      </c>
      <c r="P19" s="44">
        <f t="shared" si="6"/>
        <v>0</v>
      </c>
      <c r="Q19" s="43">
        <v>0</v>
      </c>
      <c r="R19" s="44">
        <f t="shared" si="7"/>
        <v>0</v>
      </c>
      <c r="S19" s="43">
        <v>0</v>
      </c>
      <c r="T19" s="44">
        <f t="shared" si="8"/>
        <v>0</v>
      </c>
      <c r="U19" s="43">
        <v>0</v>
      </c>
      <c r="V19" s="44">
        <f t="shared" si="9"/>
        <v>0</v>
      </c>
      <c r="W19" s="43">
        <v>0</v>
      </c>
      <c r="X19" s="44">
        <f t="shared" si="10"/>
        <v>0</v>
      </c>
      <c r="Y19" s="43">
        <v>0</v>
      </c>
      <c r="Z19" s="44">
        <f t="shared" si="11"/>
        <v>0</v>
      </c>
      <c r="AA19" s="43">
        <v>0</v>
      </c>
      <c r="AB19" s="44">
        <f t="shared" si="12"/>
        <v>0</v>
      </c>
      <c r="AC19" s="43">
        <v>0</v>
      </c>
      <c r="AD19" s="44">
        <f t="shared" si="13"/>
        <v>0</v>
      </c>
      <c r="AE19" s="29"/>
      <c r="AF19">
        <v>109</v>
      </c>
    </row>
    <row r="20" spans="1:32" ht="14.85" customHeight="1" x14ac:dyDescent="0.2">
      <c r="A20" s="37"/>
      <c r="B20" s="38"/>
      <c r="C20" s="39" t="s">
        <v>51</v>
      </c>
      <c r="D20" s="45">
        <f t="shared" si="0"/>
        <v>104</v>
      </c>
      <c r="E20" s="41" t="s">
        <v>39</v>
      </c>
      <c r="F20" s="42">
        <f t="shared" si="1"/>
        <v>2682.5510400000003</v>
      </c>
      <c r="G20" s="43">
        <v>10</v>
      </c>
      <c r="H20" s="44">
        <f t="shared" si="2"/>
        <v>257.93759999999997</v>
      </c>
      <c r="I20" s="43">
        <v>8</v>
      </c>
      <c r="J20" s="44">
        <f t="shared" si="3"/>
        <v>206.35007999999999</v>
      </c>
      <c r="K20" s="43">
        <v>8</v>
      </c>
      <c r="L20" s="44">
        <f t="shared" si="4"/>
        <v>206.35007999999999</v>
      </c>
      <c r="M20" s="43">
        <v>8</v>
      </c>
      <c r="N20" s="44">
        <f t="shared" si="5"/>
        <v>206.35007999999999</v>
      </c>
      <c r="O20" s="43">
        <v>11</v>
      </c>
      <c r="P20" s="44">
        <f t="shared" si="6"/>
        <v>283.73136</v>
      </c>
      <c r="Q20" s="43">
        <v>8</v>
      </c>
      <c r="R20" s="44">
        <f t="shared" si="7"/>
        <v>206.35007999999999</v>
      </c>
      <c r="S20" s="43">
        <v>8</v>
      </c>
      <c r="T20" s="44">
        <f t="shared" si="8"/>
        <v>206.35007999999999</v>
      </c>
      <c r="U20" s="43">
        <v>8</v>
      </c>
      <c r="V20" s="44">
        <f t="shared" si="9"/>
        <v>206.35007999999999</v>
      </c>
      <c r="W20" s="43">
        <v>11</v>
      </c>
      <c r="X20" s="44">
        <f t="shared" si="10"/>
        <v>283.73136</v>
      </c>
      <c r="Y20" s="43">
        <v>8</v>
      </c>
      <c r="Z20" s="44">
        <f t="shared" si="11"/>
        <v>206.35007999999999</v>
      </c>
      <c r="AA20" s="43">
        <v>8</v>
      </c>
      <c r="AB20" s="44">
        <f t="shared" si="12"/>
        <v>206.35007999999999</v>
      </c>
      <c r="AC20" s="43">
        <v>8</v>
      </c>
      <c r="AD20" s="44">
        <f t="shared" si="13"/>
        <v>206.35007999999999</v>
      </c>
      <c r="AE20" s="29"/>
      <c r="AF20">
        <f>18.53*1.2</f>
        <v>22.236000000000001</v>
      </c>
    </row>
    <row r="21" spans="1:32" ht="15" customHeight="1" x14ac:dyDescent="0.2">
      <c r="A21" s="37"/>
      <c r="B21" s="38"/>
      <c r="C21" s="45" t="s">
        <v>52</v>
      </c>
      <c r="D21" s="45">
        <f t="shared" si="0"/>
        <v>72</v>
      </c>
      <c r="E21" s="41" t="s">
        <v>39</v>
      </c>
      <c r="F21" s="42">
        <f t="shared" si="1"/>
        <v>1360.0396799999999</v>
      </c>
      <c r="G21" s="43">
        <v>6</v>
      </c>
      <c r="H21" s="44">
        <f t="shared" si="2"/>
        <v>113.33663999999999</v>
      </c>
      <c r="I21" s="43">
        <v>6</v>
      </c>
      <c r="J21" s="44">
        <f t="shared" si="3"/>
        <v>113.33663999999999</v>
      </c>
      <c r="K21" s="43">
        <v>6</v>
      </c>
      <c r="L21" s="44">
        <f t="shared" si="4"/>
        <v>113.33663999999999</v>
      </c>
      <c r="M21" s="43">
        <v>6</v>
      </c>
      <c r="N21" s="44">
        <f t="shared" si="5"/>
        <v>113.33663999999999</v>
      </c>
      <c r="O21" s="43">
        <v>6</v>
      </c>
      <c r="P21" s="44">
        <f t="shared" si="6"/>
        <v>113.33663999999999</v>
      </c>
      <c r="Q21" s="43">
        <v>6</v>
      </c>
      <c r="R21" s="44">
        <f t="shared" si="7"/>
        <v>113.33663999999999</v>
      </c>
      <c r="S21" s="43">
        <v>6</v>
      </c>
      <c r="T21" s="44">
        <f t="shared" si="8"/>
        <v>113.33663999999999</v>
      </c>
      <c r="U21" s="43">
        <v>6</v>
      </c>
      <c r="V21" s="44">
        <f t="shared" si="9"/>
        <v>113.33663999999999</v>
      </c>
      <c r="W21" s="43">
        <v>6</v>
      </c>
      <c r="X21" s="44">
        <f t="shared" si="10"/>
        <v>113.33663999999999</v>
      </c>
      <c r="Y21" s="43">
        <v>6</v>
      </c>
      <c r="Z21" s="44">
        <f t="shared" si="11"/>
        <v>113.33663999999999</v>
      </c>
      <c r="AA21" s="43">
        <v>6</v>
      </c>
      <c r="AB21" s="44">
        <f t="shared" si="12"/>
        <v>113.33663999999999</v>
      </c>
      <c r="AC21" s="43">
        <v>6</v>
      </c>
      <c r="AD21" s="44">
        <f t="shared" si="13"/>
        <v>113.33663999999999</v>
      </c>
      <c r="AE21" s="29"/>
      <c r="AF21">
        <f>13.57*1.2</f>
        <v>16.283999999999999</v>
      </c>
    </row>
    <row r="22" spans="1:32" ht="25.5" x14ac:dyDescent="0.2">
      <c r="A22" s="37"/>
      <c r="B22" s="38"/>
      <c r="C22" s="48" t="s">
        <v>53</v>
      </c>
      <c r="D22" s="45">
        <f t="shared" si="0"/>
        <v>60</v>
      </c>
      <c r="E22" s="41" t="s">
        <v>39</v>
      </c>
      <c r="F22" s="42">
        <f t="shared" si="1"/>
        <v>1547.6256000000003</v>
      </c>
      <c r="G22" s="43">
        <v>5</v>
      </c>
      <c r="H22" s="44">
        <f t="shared" si="2"/>
        <v>128.96879999999999</v>
      </c>
      <c r="I22" s="43">
        <v>5</v>
      </c>
      <c r="J22" s="44">
        <f t="shared" si="3"/>
        <v>128.96879999999999</v>
      </c>
      <c r="K22" s="43">
        <v>5</v>
      </c>
      <c r="L22" s="44">
        <f t="shared" si="4"/>
        <v>128.96879999999999</v>
      </c>
      <c r="M22" s="43">
        <v>5</v>
      </c>
      <c r="N22" s="44">
        <f t="shared" si="5"/>
        <v>128.96879999999999</v>
      </c>
      <c r="O22" s="43">
        <v>5</v>
      </c>
      <c r="P22" s="44">
        <f t="shared" si="6"/>
        <v>128.96879999999999</v>
      </c>
      <c r="Q22" s="43">
        <v>5</v>
      </c>
      <c r="R22" s="44">
        <f t="shared" si="7"/>
        <v>128.96879999999999</v>
      </c>
      <c r="S22" s="43">
        <v>5</v>
      </c>
      <c r="T22" s="44">
        <f t="shared" si="8"/>
        <v>128.96879999999999</v>
      </c>
      <c r="U22" s="43">
        <v>5</v>
      </c>
      <c r="V22" s="44">
        <f t="shared" si="9"/>
        <v>128.96879999999999</v>
      </c>
      <c r="W22" s="43">
        <v>5</v>
      </c>
      <c r="X22" s="44">
        <f t="shared" si="10"/>
        <v>128.96879999999999</v>
      </c>
      <c r="Y22" s="43">
        <v>5</v>
      </c>
      <c r="Z22" s="44">
        <f t="shared" si="11"/>
        <v>128.96879999999999</v>
      </c>
      <c r="AA22" s="43">
        <v>5</v>
      </c>
      <c r="AB22" s="44">
        <f t="shared" si="12"/>
        <v>128.96879999999999</v>
      </c>
      <c r="AC22" s="43">
        <v>5</v>
      </c>
      <c r="AD22" s="44">
        <f t="shared" si="13"/>
        <v>128.96879999999999</v>
      </c>
      <c r="AE22" s="29"/>
      <c r="AF22">
        <f>18.53*1.2</f>
        <v>22.236000000000001</v>
      </c>
    </row>
    <row r="23" spans="1:32" ht="15" customHeight="1" x14ac:dyDescent="0.2">
      <c r="A23" s="37"/>
      <c r="B23" s="38"/>
      <c r="C23" s="39" t="s">
        <v>54</v>
      </c>
      <c r="D23" s="45">
        <f t="shared" si="0"/>
        <v>210</v>
      </c>
      <c r="E23" s="41" t="s">
        <v>46</v>
      </c>
      <c r="F23" s="42">
        <f t="shared" si="1"/>
        <v>3782.6207999999988</v>
      </c>
      <c r="G23" s="43">
        <v>15</v>
      </c>
      <c r="H23" s="44">
        <f t="shared" si="2"/>
        <v>270.18719999999996</v>
      </c>
      <c r="I23" s="43">
        <v>25</v>
      </c>
      <c r="J23" s="44">
        <f t="shared" si="3"/>
        <v>450.31199999999995</v>
      </c>
      <c r="K23" s="43">
        <v>15</v>
      </c>
      <c r="L23" s="44">
        <f t="shared" si="4"/>
        <v>270.18719999999996</v>
      </c>
      <c r="M23" s="43">
        <v>15</v>
      </c>
      <c r="N23" s="44">
        <f t="shared" si="5"/>
        <v>270.18719999999996</v>
      </c>
      <c r="O23" s="43">
        <v>15</v>
      </c>
      <c r="P23" s="44">
        <f t="shared" si="6"/>
        <v>270.18719999999996</v>
      </c>
      <c r="Q23" s="43">
        <v>25</v>
      </c>
      <c r="R23" s="44">
        <f t="shared" si="7"/>
        <v>450.31199999999995</v>
      </c>
      <c r="S23" s="43">
        <v>15</v>
      </c>
      <c r="T23" s="44">
        <f t="shared" si="8"/>
        <v>270.18719999999996</v>
      </c>
      <c r="U23" s="43">
        <v>15</v>
      </c>
      <c r="V23" s="44">
        <f t="shared" si="9"/>
        <v>270.18719999999996</v>
      </c>
      <c r="W23" s="43">
        <v>25</v>
      </c>
      <c r="X23" s="44">
        <f t="shared" si="10"/>
        <v>450.31199999999995</v>
      </c>
      <c r="Y23" s="43">
        <v>15</v>
      </c>
      <c r="Z23" s="44">
        <f t="shared" si="11"/>
        <v>270.18719999999996</v>
      </c>
      <c r="AA23" s="43">
        <v>15</v>
      </c>
      <c r="AB23" s="44">
        <f t="shared" si="12"/>
        <v>270.18719999999996</v>
      </c>
      <c r="AC23" s="43">
        <v>15</v>
      </c>
      <c r="AD23" s="44">
        <f t="shared" si="13"/>
        <v>270.18719999999996</v>
      </c>
      <c r="AE23" s="29"/>
      <c r="AF23">
        <f>12.94*1.2</f>
        <v>15.527999999999999</v>
      </c>
    </row>
    <row r="24" spans="1:32" ht="13.5" customHeight="1" x14ac:dyDescent="0.2">
      <c r="A24" s="37"/>
      <c r="B24" s="38"/>
      <c r="C24" s="39" t="s">
        <v>55</v>
      </c>
      <c r="D24" s="45">
        <f t="shared" si="0"/>
        <v>150</v>
      </c>
      <c r="E24" s="41" t="s">
        <v>46</v>
      </c>
      <c r="F24" s="42">
        <f t="shared" si="1"/>
        <v>2394.9360000000001</v>
      </c>
      <c r="G24" s="43">
        <v>10</v>
      </c>
      <c r="H24" s="44">
        <f t="shared" si="2"/>
        <v>159.66240000000002</v>
      </c>
      <c r="I24" s="43">
        <v>15</v>
      </c>
      <c r="J24" s="44">
        <f t="shared" si="3"/>
        <v>239.49359999999999</v>
      </c>
      <c r="K24" s="43">
        <v>12</v>
      </c>
      <c r="L24" s="44">
        <f t="shared" si="4"/>
        <v>191.59487999999999</v>
      </c>
      <c r="M24" s="43">
        <v>12</v>
      </c>
      <c r="N24" s="44">
        <f t="shared" si="5"/>
        <v>191.59487999999999</v>
      </c>
      <c r="O24" s="43">
        <v>12</v>
      </c>
      <c r="P24" s="44">
        <f t="shared" si="6"/>
        <v>191.59487999999999</v>
      </c>
      <c r="Q24" s="43">
        <v>15</v>
      </c>
      <c r="R24" s="44">
        <f t="shared" si="7"/>
        <v>239.49359999999999</v>
      </c>
      <c r="S24" s="43">
        <v>12</v>
      </c>
      <c r="T24" s="44">
        <f t="shared" si="8"/>
        <v>191.59487999999999</v>
      </c>
      <c r="U24" s="43">
        <v>12</v>
      </c>
      <c r="V24" s="44">
        <f t="shared" si="9"/>
        <v>191.59487999999999</v>
      </c>
      <c r="W24" s="43">
        <v>15</v>
      </c>
      <c r="X24" s="44">
        <f t="shared" si="10"/>
        <v>239.49359999999999</v>
      </c>
      <c r="Y24" s="43">
        <v>12</v>
      </c>
      <c r="Z24" s="44">
        <f t="shared" si="11"/>
        <v>191.59487999999999</v>
      </c>
      <c r="AA24" s="43">
        <v>12</v>
      </c>
      <c r="AB24" s="44">
        <f t="shared" si="12"/>
        <v>191.59487999999999</v>
      </c>
      <c r="AC24" s="43">
        <v>11</v>
      </c>
      <c r="AD24" s="44">
        <f t="shared" si="13"/>
        <v>175.62864000000002</v>
      </c>
      <c r="AE24" s="29"/>
      <c r="AF24">
        <f>11.47*1.2</f>
        <v>13.764000000000001</v>
      </c>
    </row>
    <row r="25" spans="1:32" ht="15" customHeight="1" x14ac:dyDescent="0.2">
      <c r="A25" s="37"/>
      <c r="B25" s="38"/>
      <c r="C25" s="39" t="s">
        <v>56</v>
      </c>
      <c r="D25" s="45">
        <f t="shared" si="0"/>
        <v>60</v>
      </c>
      <c r="E25" s="41" t="s">
        <v>46</v>
      </c>
      <c r="F25" s="42">
        <f t="shared" si="1"/>
        <v>1378.9151999999997</v>
      </c>
      <c r="G25" s="43">
        <v>5</v>
      </c>
      <c r="H25" s="44">
        <f t="shared" si="2"/>
        <v>114.9096</v>
      </c>
      <c r="I25" s="43">
        <v>5</v>
      </c>
      <c r="J25" s="44">
        <f t="shared" si="3"/>
        <v>114.9096</v>
      </c>
      <c r="K25" s="43">
        <v>5</v>
      </c>
      <c r="L25" s="44">
        <f t="shared" si="4"/>
        <v>114.9096</v>
      </c>
      <c r="M25" s="43">
        <v>5</v>
      </c>
      <c r="N25" s="44">
        <f t="shared" si="5"/>
        <v>114.9096</v>
      </c>
      <c r="O25" s="43">
        <v>5</v>
      </c>
      <c r="P25" s="44">
        <f t="shared" si="6"/>
        <v>114.9096</v>
      </c>
      <c r="Q25" s="43">
        <v>5</v>
      </c>
      <c r="R25" s="44">
        <f t="shared" si="7"/>
        <v>114.9096</v>
      </c>
      <c r="S25" s="43">
        <v>5</v>
      </c>
      <c r="T25" s="44">
        <f t="shared" si="8"/>
        <v>114.9096</v>
      </c>
      <c r="U25" s="43">
        <v>5</v>
      </c>
      <c r="V25" s="44">
        <f t="shared" si="9"/>
        <v>114.9096</v>
      </c>
      <c r="W25" s="43">
        <v>5</v>
      </c>
      <c r="X25" s="44">
        <f t="shared" si="10"/>
        <v>114.9096</v>
      </c>
      <c r="Y25" s="43">
        <v>5</v>
      </c>
      <c r="Z25" s="44">
        <f t="shared" si="11"/>
        <v>114.9096</v>
      </c>
      <c r="AA25" s="43">
        <v>5</v>
      </c>
      <c r="AB25" s="44">
        <f t="shared" si="12"/>
        <v>114.9096</v>
      </c>
      <c r="AC25" s="43">
        <v>5</v>
      </c>
      <c r="AD25" s="44">
        <f t="shared" si="13"/>
        <v>114.9096</v>
      </c>
      <c r="AE25" s="29"/>
      <c r="AF25">
        <f>16.51*1.2</f>
        <v>19.812000000000001</v>
      </c>
    </row>
    <row r="26" spans="1:32" ht="23.25" customHeight="1" x14ac:dyDescent="0.2">
      <c r="A26" s="37"/>
      <c r="B26" s="38"/>
      <c r="C26" s="39" t="s">
        <v>57</v>
      </c>
      <c r="D26" s="45">
        <f t="shared" si="0"/>
        <v>30</v>
      </c>
      <c r="E26" s="41" t="s">
        <v>46</v>
      </c>
      <c r="F26" s="42">
        <f t="shared" si="1"/>
        <v>1126.2671999999998</v>
      </c>
      <c r="G26" s="43">
        <v>3</v>
      </c>
      <c r="H26" s="44">
        <f t="shared" si="2"/>
        <v>112.62671999999998</v>
      </c>
      <c r="I26" s="43">
        <v>2</v>
      </c>
      <c r="J26" s="44">
        <f t="shared" si="3"/>
        <v>75.084479999999985</v>
      </c>
      <c r="K26" s="43">
        <v>2</v>
      </c>
      <c r="L26" s="44">
        <f t="shared" si="4"/>
        <v>75.084479999999985</v>
      </c>
      <c r="M26" s="43">
        <v>2</v>
      </c>
      <c r="N26" s="44">
        <f t="shared" si="5"/>
        <v>75.084479999999985</v>
      </c>
      <c r="O26" s="43">
        <v>3</v>
      </c>
      <c r="P26" s="44">
        <f t="shared" si="6"/>
        <v>112.62671999999998</v>
      </c>
      <c r="Q26" s="43">
        <v>5</v>
      </c>
      <c r="R26" s="44">
        <f t="shared" si="7"/>
        <v>187.71119999999999</v>
      </c>
      <c r="S26" s="43">
        <v>2</v>
      </c>
      <c r="T26" s="44">
        <f t="shared" si="8"/>
        <v>75.084479999999985</v>
      </c>
      <c r="U26" s="43">
        <v>2</v>
      </c>
      <c r="V26" s="44">
        <f t="shared" si="9"/>
        <v>75.084479999999985</v>
      </c>
      <c r="W26" s="43">
        <v>3</v>
      </c>
      <c r="X26" s="44">
        <f t="shared" si="10"/>
        <v>112.62671999999998</v>
      </c>
      <c r="Y26" s="43">
        <v>2</v>
      </c>
      <c r="Z26" s="44">
        <f t="shared" si="11"/>
        <v>75.084479999999985</v>
      </c>
      <c r="AA26" s="43">
        <v>2</v>
      </c>
      <c r="AB26" s="44">
        <f t="shared" si="12"/>
        <v>75.084479999999985</v>
      </c>
      <c r="AC26" s="43">
        <v>2</v>
      </c>
      <c r="AD26" s="44">
        <f t="shared" si="13"/>
        <v>75.084479999999985</v>
      </c>
      <c r="AE26" s="29"/>
      <c r="AF26">
        <f>26.97*1.2</f>
        <v>32.363999999999997</v>
      </c>
    </row>
    <row r="27" spans="1:32" ht="23.25" customHeight="1" x14ac:dyDescent="0.2">
      <c r="A27" s="37"/>
      <c r="B27" s="38"/>
      <c r="C27" s="39" t="s">
        <v>58</v>
      </c>
      <c r="D27" s="45">
        <f t="shared" si="0"/>
        <v>80</v>
      </c>
      <c r="E27" s="41" t="s">
        <v>39</v>
      </c>
      <c r="F27" s="42">
        <f t="shared" si="1"/>
        <v>1280.6399999999999</v>
      </c>
      <c r="G27" s="43">
        <v>6</v>
      </c>
      <c r="H27" s="44">
        <f t="shared" si="2"/>
        <v>96.047999999999988</v>
      </c>
      <c r="I27" s="43">
        <v>8</v>
      </c>
      <c r="J27" s="44">
        <f t="shared" si="3"/>
        <v>128.06399999999999</v>
      </c>
      <c r="K27" s="43">
        <v>6</v>
      </c>
      <c r="L27" s="44">
        <f t="shared" si="4"/>
        <v>96.047999999999988</v>
      </c>
      <c r="M27" s="43">
        <v>6</v>
      </c>
      <c r="N27" s="44">
        <f t="shared" si="5"/>
        <v>96.047999999999988</v>
      </c>
      <c r="O27" s="43">
        <v>6</v>
      </c>
      <c r="P27" s="44">
        <f t="shared" si="6"/>
        <v>96.047999999999988</v>
      </c>
      <c r="Q27" s="43">
        <v>8</v>
      </c>
      <c r="R27" s="44">
        <f t="shared" si="7"/>
        <v>128.06399999999999</v>
      </c>
      <c r="S27" s="43">
        <v>6</v>
      </c>
      <c r="T27" s="44">
        <f t="shared" si="8"/>
        <v>96.047999999999988</v>
      </c>
      <c r="U27" s="43">
        <v>6</v>
      </c>
      <c r="V27" s="44">
        <f t="shared" si="9"/>
        <v>96.047999999999988</v>
      </c>
      <c r="W27" s="43">
        <v>10</v>
      </c>
      <c r="X27" s="44">
        <f t="shared" si="10"/>
        <v>160.07999999999998</v>
      </c>
      <c r="Y27" s="43">
        <v>6</v>
      </c>
      <c r="Z27" s="44">
        <f t="shared" si="11"/>
        <v>96.047999999999988</v>
      </c>
      <c r="AA27" s="43">
        <v>6</v>
      </c>
      <c r="AB27" s="44">
        <f t="shared" si="12"/>
        <v>96.047999999999988</v>
      </c>
      <c r="AC27" s="43">
        <v>6</v>
      </c>
      <c r="AD27" s="44">
        <f t="shared" si="13"/>
        <v>96.047999999999988</v>
      </c>
      <c r="AE27" s="29"/>
      <c r="AF27">
        <f>11.5*1.2</f>
        <v>13.799999999999999</v>
      </c>
    </row>
    <row r="28" spans="1:32" ht="23.25" customHeight="1" x14ac:dyDescent="0.2">
      <c r="A28" s="37"/>
      <c r="B28" s="38"/>
      <c r="C28" s="39" t="s">
        <v>59</v>
      </c>
      <c r="D28" s="45">
        <f t="shared" si="0"/>
        <v>60</v>
      </c>
      <c r="E28" s="41" t="s">
        <v>39</v>
      </c>
      <c r="F28" s="42">
        <f t="shared" si="1"/>
        <v>847.72799999999995</v>
      </c>
      <c r="G28" s="43">
        <v>5</v>
      </c>
      <c r="H28" s="44">
        <f t="shared" si="2"/>
        <v>70.643999999999991</v>
      </c>
      <c r="I28" s="43">
        <v>5</v>
      </c>
      <c r="J28" s="44">
        <f t="shared" si="3"/>
        <v>70.643999999999991</v>
      </c>
      <c r="K28" s="43">
        <v>5</v>
      </c>
      <c r="L28" s="44">
        <f t="shared" si="4"/>
        <v>70.643999999999991</v>
      </c>
      <c r="M28" s="43">
        <v>5</v>
      </c>
      <c r="N28" s="44">
        <f t="shared" si="5"/>
        <v>70.643999999999991</v>
      </c>
      <c r="O28" s="43">
        <v>5</v>
      </c>
      <c r="P28" s="44">
        <f t="shared" si="6"/>
        <v>70.643999999999991</v>
      </c>
      <c r="Q28" s="43">
        <v>5</v>
      </c>
      <c r="R28" s="44">
        <f t="shared" si="7"/>
        <v>70.643999999999991</v>
      </c>
      <c r="S28" s="43">
        <v>5</v>
      </c>
      <c r="T28" s="44">
        <f t="shared" si="8"/>
        <v>70.643999999999991</v>
      </c>
      <c r="U28" s="43">
        <v>5</v>
      </c>
      <c r="V28" s="44">
        <f t="shared" si="9"/>
        <v>70.643999999999991</v>
      </c>
      <c r="W28" s="43">
        <v>5</v>
      </c>
      <c r="X28" s="44">
        <f t="shared" si="10"/>
        <v>70.643999999999991</v>
      </c>
      <c r="Y28" s="43">
        <v>5</v>
      </c>
      <c r="Z28" s="44">
        <f t="shared" si="11"/>
        <v>70.643999999999991</v>
      </c>
      <c r="AA28" s="43">
        <v>5</v>
      </c>
      <c r="AB28" s="44">
        <f t="shared" si="12"/>
        <v>70.643999999999991</v>
      </c>
      <c r="AC28" s="43">
        <v>5</v>
      </c>
      <c r="AD28" s="44">
        <f t="shared" si="13"/>
        <v>70.643999999999991</v>
      </c>
      <c r="AE28" s="29"/>
      <c r="AF28">
        <f>10.15*1.2</f>
        <v>12.18</v>
      </c>
    </row>
    <row r="29" spans="1:32" ht="11.25" customHeight="1" x14ac:dyDescent="0.2">
      <c r="A29" s="37"/>
      <c r="B29" s="38"/>
      <c r="C29" s="39" t="s">
        <v>60</v>
      </c>
      <c r="D29" s="45">
        <f t="shared" si="0"/>
        <v>50</v>
      </c>
      <c r="E29" s="41" t="s">
        <v>39</v>
      </c>
      <c r="F29" s="42">
        <f t="shared" si="1"/>
        <v>885.31200000000001</v>
      </c>
      <c r="G29" s="43">
        <v>4</v>
      </c>
      <c r="H29" s="44">
        <f t="shared" si="2"/>
        <v>70.82495999999999</v>
      </c>
      <c r="I29" s="43">
        <v>6</v>
      </c>
      <c r="J29" s="44">
        <f t="shared" si="3"/>
        <v>106.23743999999999</v>
      </c>
      <c r="K29" s="43">
        <v>4</v>
      </c>
      <c r="L29" s="44">
        <f t="shared" si="4"/>
        <v>70.82495999999999</v>
      </c>
      <c r="M29" s="43">
        <v>4</v>
      </c>
      <c r="N29" s="44">
        <f t="shared" si="5"/>
        <v>70.82495999999999</v>
      </c>
      <c r="O29" s="43">
        <v>4</v>
      </c>
      <c r="P29" s="44">
        <f t="shared" si="6"/>
        <v>70.82495999999999</v>
      </c>
      <c r="Q29" s="43">
        <v>4</v>
      </c>
      <c r="R29" s="44">
        <f t="shared" si="7"/>
        <v>70.82495999999999</v>
      </c>
      <c r="S29" s="43">
        <v>4</v>
      </c>
      <c r="T29" s="44">
        <f t="shared" si="8"/>
        <v>70.82495999999999</v>
      </c>
      <c r="U29" s="43">
        <v>4</v>
      </c>
      <c r="V29" s="44">
        <f t="shared" si="9"/>
        <v>70.82495999999999</v>
      </c>
      <c r="W29" s="43">
        <v>4</v>
      </c>
      <c r="X29" s="44">
        <f t="shared" si="10"/>
        <v>70.82495999999999</v>
      </c>
      <c r="Y29" s="43">
        <v>4</v>
      </c>
      <c r="Z29" s="44">
        <f t="shared" si="11"/>
        <v>70.82495999999999</v>
      </c>
      <c r="AA29" s="43">
        <v>4</v>
      </c>
      <c r="AB29" s="44">
        <f t="shared" si="12"/>
        <v>70.82495999999999</v>
      </c>
      <c r="AC29" s="43">
        <v>4</v>
      </c>
      <c r="AD29" s="44">
        <f t="shared" si="13"/>
        <v>70.82495999999999</v>
      </c>
      <c r="AE29" s="29"/>
      <c r="AF29">
        <f>12.72*1.2</f>
        <v>15.263999999999999</v>
      </c>
    </row>
    <row r="30" spans="1:32" ht="11.25" customHeight="1" x14ac:dyDescent="0.2">
      <c r="A30" s="37"/>
      <c r="B30" s="38"/>
      <c r="C30" s="45" t="s">
        <v>61</v>
      </c>
      <c r="D30" s="45">
        <f t="shared" si="0"/>
        <v>55</v>
      </c>
      <c r="E30" s="41" t="s">
        <v>39</v>
      </c>
      <c r="F30" s="42">
        <f t="shared" si="1"/>
        <v>6829.152000000001</v>
      </c>
      <c r="G30" s="43">
        <v>2</v>
      </c>
      <c r="H30" s="44">
        <f t="shared" si="2"/>
        <v>248.33279999999999</v>
      </c>
      <c r="I30" s="43">
        <v>6</v>
      </c>
      <c r="J30" s="44">
        <f t="shared" si="3"/>
        <v>744.99839999999995</v>
      </c>
      <c r="K30" s="43">
        <v>5</v>
      </c>
      <c r="L30" s="44">
        <f t="shared" si="4"/>
        <v>620.83199999999999</v>
      </c>
      <c r="M30" s="43">
        <v>4</v>
      </c>
      <c r="N30" s="44">
        <f t="shared" si="5"/>
        <v>496.66559999999998</v>
      </c>
      <c r="O30" s="43">
        <v>5</v>
      </c>
      <c r="P30" s="44">
        <f t="shared" si="6"/>
        <v>620.83199999999999</v>
      </c>
      <c r="Q30" s="43">
        <v>6</v>
      </c>
      <c r="R30" s="44">
        <f t="shared" si="7"/>
        <v>744.99839999999995</v>
      </c>
      <c r="S30" s="43">
        <v>5</v>
      </c>
      <c r="T30" s="44">
        <f t="shared" si="8"/>
        <v>620.83199999999999</v>
      </c>
      <c r="U30" s="43">
        <v>4</v>
      </c>
      <c r="V30" s="44">
        <f t="shared" si="9"/>
        <v>496.66559999999998</v>
      </c>
      <c r="W30" s="43">
        <v>5</v>
      </c>
      <c r="X30" s="44">
        <f t="shared" si="10"/>
        <v>620.83199999999999</v>
      </c>
      <c r="Y30" s="43">
        <v>5</v>
      </c>
      <c r="Z30" s="44">
        <f t="shared" si="11"/>
        <v>620.83199999999999</v>
      </c>
      <c r="AA30" s="43">
        <v>4</v>
      </c>
      <c r="AB30" s="44">
        <f t="shared" si="12"/>
        <v>496.66559999999998</v>
      </c>
      <c r="AC30" s="43">
        <v>4</v>
      </c>
      <c r="AD30" s="44">
        <f t="shared" si="13"/>
        <v>496.66559999999998</v>
      </c>
      <c r="AE30" s="29"/>
      <c r="AF30">
        <f>89.2*1.2</f>
        <v>107.04</v>
      </c>
    </row>
    <row r="31" spans="1:32" ht="25.5" customHeight="1" x14ac:dyDescent="0.2">
      <c r="A31" s="37"/>
      <c r="B31" s="38"/>
      <c r="C31" s="39" t="s">
        <v>62</v>
      </c>
      <c r="D31" s="45">
        <f t="shared" si="0"/>
        <v>95</v>
      </c>
      <c r="E31" s="41" t="s">
        <v>63</v>
      </c>
      <c r="F31" s="42">
        <f t="shared" si="1"/>
        <v>18657.741599999998</v>
      </c>
      <c r="G31" s="43">
        <v>9</v>
      </c>
      <c r="H31" s="44">
        <f t="shared" si="2"/>
        <v>1767.5755199999999</v>
      </c>
      <c r="I31" s="43">
        <v>8</v>
      </c>
      <c r="J31" s="44">
        <f t="shared" si="3"/>
        <v>1571.1782399999997</v>
      </c>
      <c r="K31" s="43">
        <v>8</v>
      </c>
      <c r="L31" s="44">
        <f t="shared" si="4"/>
        <v>1571.1782399999997</v>
      </c>
      <c r="M31" s="43">
        <v>7</v>
      </c>
      <c r="N31" s="44">
        <f t="shared" si="5"/>
        <v>1374.7809599999998</v>
      </c>
      <c r="O31" s="43">
        <v>9</v>
      </c>
      <c r="P31" s="44">
        <f t="shared" si="6"/>
        <v>1767.5755199999999</v>
      </c>
      <c r="Q31" s="43">
        <v>8</v>
      </c>
      <c r="R31" s="44">
        <f t="shared" si="7"/>
        <v>1571.1782399999997</v>
      </c>
      <c r="S31" s="43">
        <v>7</v>
      </c>
      <c r="T31" s="44">
        <f t="shared" si="8"/>
        <v>1374.7809599999998</v>
      </c>
      <c r="U31" s="43">
        <v>8</v>
      </c>
      <c r="V31" s="44">
        <f t="shared" si="9"/>
        <v>1571.1782399999997</v>
      </c>
      <c r="W31" s="43">
        <v>8</v>
      </c>
      <c r="X31" s="44">
        <f t="shared" si="10"/>
        <v>1571.1782399999997</v>
      </c>
      <c r="Y31" s="43">
        <v>8</v>
      </c>
      <c r="Z31" s="44">
        <f t="shared" si="11"/>
        <v>1571.1782399999997</v>
      </c>
      <c r="AA31" s="43">
        <v>8</v>
      </c>
      <c r="AB31" s="44">
        <f t="shared" si="12"/>
        <v>1571.1782399999997</v>
      </c>
      <c r="AC31" s="43">
        <v>7</v>
      </c>
      <c r="AD31" s="44">
        <f t="shared" si="13"/>
        <v>1374.7809599999998</v>
      </c>
      <c r="AE31" s="29"/>
      <c r="AF31">
        <f>141.09*1.2</f>
        <v>169.30799999999999</v>
      </c>
    </row>
    <row r="32" spans="1:32" ht="14.25" customHeight="1" x14ac:dyDescent="0.2">
      <c r="A32" s="37"/>
      <c r="B32" s="38"/>
      <c r="C32" s="47" t="s">
        <v>64</v>
      </c>
      <c r="D32" s="45">
        <f t="shared" si="0"/>
        <v>70</v>
      </c>
      <c r="E32" s="41" t="s">
        <v>63</v>
      </c>
      <c r="F32" s="42">
        <f t="shared" si="1"/>
        <v>13740.014399999996</v>
      </c>
      <c r="G32" s="43">
        <v>5</v>
      </c>
      <c r="H32" s="44">
        <f t="shared" si="2"/>
        <v>981.42959999999982</v>
      </c>
      <c r="I32" s="43">
        <v>5</v>
      </c>
      <c r="J32" s="44">
        <f t="shared" si="3"/>
        <v>981.42959999999982</v>
      </c>
      <c r="K32" s="43">
        <v>6</v>
      </c>
      <c r="L32" s="44">
        <f t="shared" si="4"/>
        <v>1177.7155199999997</v>
      </c>
      <c r="M32" s="43">
        <v>6</v>
      </c>
      <c r="N32" s="44">
        <f t="shared" si="5"/>
        <v>1177.7155199999997</v>
      </c>
      <c r="O32" s="43">
        <v>6</v>
      </c>
      <c r="P32" s="44">
        <f t="shared" si="6"/>
        <v>1177.7155199999997</v>
      </c>
      <c r="Q32" s="43">
        <v>6</v>
      </c>
      <c r="R32" s="44">
        <f t="shared" si="7"/>
        <v>1177.7155199999997</v>
      </c>
      <c r="S32" s="43">
        <v>6</v>
      </c>
      <c r="T32" s="44">
        <f t="shared" si="8"/>
        <v>1177.7155199999997</v>
      </c>
      <c r="U32" s="43">
        <v>6</v>
      </c>
      <c r="V32" s="44">
        <f t="shared" si="9"/>
        <v>1177.7155199999997</v>
      </c>
      <c r="W32" s="43">
        <v>6</v>
      </c>
      <c r="X32" s="44">
        <f t="shared" si="10"/>
        <v>1177.7155199999997</v>
      </c>
      <c r="Y32" s="43">
        <v>6</v>
      </c>
      <c r="Z32" s="44">
        <f t="shared" si="11"/>
        <v>1177.7155199999997</v>
      </c>
      <c r="AA32" s="43">
        <v>6</v>
      </c>
      <c r="AB32" s="44">
        <f t="shared" si="12"/>
        <v>1177.7155199999997</v>
      </c>
      <c r="AC32" s="43">
        <v>6</v>
      </c>
      <c r="AD32" s="44">
        <f t="shared" si="13"/>
        <v>1177.7155199999997</v>
      </c>
      <c r="AE32" s="29"/>
      <c r="AF32">
        <f>141.01*1.2</f>
        <v>169.21199999999999</v>
      </c>
    </row>
    <row r="33" spans="1:32" ht="14.25" customHeight="1" x14ac:dyDescent="0.2">
      <c r="A33" s="37"/>
      <c r="B33" s="38"/>
      <c r="C33" s="39" t="s">
        <v>65</v>
      </c>
      <c r="D33" s="45">
        <f t="shared" si="0"/>
        <v>65</v>
      </c>
      <c r="E33" s="41" t="s">
        <v>46</v>
      </c>
      <c r="F33" s="42">
        <f t="shared" si="1"/>
        <v>2860.9776000000002</v>
      </c>
      <c r="G33" s="43">
        <v>5</v>
      </c>
      <c r="H33" s="44">
        <f t="shared" si="2"/>
        <v>220.07520000000002</v>
      </c>
      <c r="I33" s="43">
        <v>7</v>
      </c>
      <c r="J33" s="44">
        <f t="shared" si="3"/>
        <v>308.10527999999999</v>
      </c>
      <c r="K33" s="43">
        <v>6</v>
      </c>
      <c r="L33" s="44">
        <f t="shared" si="4"/>
        <v>264.09023999999999</v>
      </c>
      <c r="M33" s="43">
        <v>5</v>
      </c>
      <c r="N33" s="44">
        <f t="shared" si="5"/>
        <v>220.07520000000002</v>
      </c>
      <c r="O33" s="43">
        <v>6</v>
      </c>
      <c r="P33" s="44">
        <f t="shared" si="6"/>
        <v>264.09023999999999</v>
      </c>
      <c r="Q33" s="43">
        <v>5</v>
      </c>
      <c r="R33" s="44">
        <f t="shared" si="7"/>
        <v>220.07520000000002</v>
      </c>
      <c r="S33" s="43">
        <v>5</v>
      </c>
      <c r="T33" s="44">
        <f t="shared" si="8"/>
        <v>220.07520000000002</v>
      </c>
      <c r="U33" s="43">
        <v>5</v>
      </c>
      <c r="V33" s="44">
        <f t="shared" si="9"/>
        <v>220.07520000000002</v>
      </c>
      <c r="W33" s="43">
        <v>6</v>
      </c>
      <c r="X33" s="44">
        <f t="shared" si="10"/>
        <v>264.09023999999999</v>
      </c>
      <c r="Y33" s="43">
        <v>4</v>
      </c>
      <c r="Z33" s="44">
        <f t="shared" si="11"/>
        <v>176.06016</v>
      </c>
      <c r="AA33" s="43">
        <v>6</v>
      </c>
      <c r="AB33" s="44">
        <f t="shared" si="12"/>
        <v>264.09023999999999</v>
      </c>
      <c r="AC33" s="43">
        <v>5</v>
      </c>
      <c r="AD33" s="44">
        <f t="shared" si="13"/>
        <v>220.07520000000002</v>
      </c>
      <c r="AE33" s="29"/>
      <c r="AF33">
        <f>31.62*1.2</f>
        <v>37.944000000000003</v>
      </c>
    </row>
    <row r="34" spans="1:32" ht="14.25" customHeight="1" x14ac:dyDescent="0.2">
      <c r="A34" s="37"/>
      <c r="B34" s="38"/>
      <c r="C34" s="39" t="s">
        <v>66</v>
      </c>
      <c r="D34" s="45">
        <f t="shared" si="0"/>
        <v>120</v>
      </c>
      <c r="E34" s="41" t="s">
        <v>39</v>
      </c>
      <c r="F34" s="42">
        <f t="shared" si="1"/>
        <v>11245.132799999998</v>
      </c>
      <c r="G34" s="43">
        <v>10</v>
      </c>
      <c r="H34" s="44">
        <f t="shared" si="2"/>
        <v>937.09439999999984</v>
      </c>
      <c r="I34" s="43">
        <v>10</v>
      </c>
      <c r="J34" s="44">
        <f t="shared" si="3"/>
        <v>937.09439999999984</v>
      </c>
      <c r="K34" s="43">
        <v>10</v>
      </c>
      <c r="L34" s="44">
        <f t="shared" si="4"/>
        <v>937.09439999999984</v>
      </c>
      <c r="M34" s="43">
        <v>10</v>
      </c>
      <c r="N34" s="44">
        <f t="shared" si="5"/>
        <v>937.09439999999984</v>
      </c>
      <c r="O34" s="43">
        <v>10</v>
      </c>
      <c r="P34" s="44">
        <f t="shared" si="6"/>
        <v>937.09439999999984</v>
      </c>
      <c r="Q34" s="43">
        <v>10</v>
      </c>
      <c r="R34" s="44">
        <f t="shared" si="7"/>
        <v>937.09439999999984</v>
      </c>
      <c r="S34" s="43">
        <v>10</v>
      </c>
      <c r="T34" s="44">
        <f t="shared" si="8"/>
        <v>937.09439999999984</v>
      </c>
      <c r="U34" s="43">
        <v>10</v>
      </c>
      <c r="V34" s="44">
        <f t="shared" si="9"/>
        <v>937.09439999999984</v>
      </c>
      <c r="W34" s="43">
        <v>10</v>
      </c>
      <c r="X34" s="44">
        <f t="shared" si="10"/>
        <v>937.09439999999984</v>
      </c>
      <c r="Y34" s="43">
        <v>10</v>
      </c>
      <c r="Z34" s="44">
        <f t="shared" si="11"/>
        <v>937.09439999999984</v>
      </c>
      <c r="AA34" s="43">
        <v>10</v>
      </c>
      <c r="AB34" s="44">
        <f t="shared" si="12"/>
        <v>937.09439999999984</v>
      </c>
      <c r="AC34" s="43">
        <v>10</v>
      </c>
      <c r="AD34" s="44">
        <f t="shared" si="13"/>
        <v>937.09439999999984</v>
      </c>
      <c r="AE34" s="29"/>
      <c r="AF34">
        <f>67.32*1.2</f>
        <v>80.783999999999992</v>
      </c>
    </row>
    <row r="35" spans="1:32" ht="13.5" customHeight="1" x14ac:dyDescent="0.2">
      <c r="A35" s="37"/>
      <c r="B35" s="38"/>
      <c r="C35" s="49" t="s">
        <v>67</v>
      </c>
      <c r="D35" s="45">
        <f t="shared" si="0"/>
        <v>108</v>
      </c>
      <c r="E35" s="41" t="s">
        <v>46</v>
      </c>
      <c r="F35" s="42">
        <f t="shared" si="1"/>
        <v>141962.28479999994</v>
      </c>
      <c r="G35" s="43">
        <v>9</v>
      </c>
      <c r="H35" s="44">
        <f t="shared" si="2"/>
        <v>11830.190399999998</v>
      </c>
      <c r="I35" s="43">
        <v>9</v>
      </c>
      <c r="J35" s="44">
        <f t="shared" si="3"/>
        <v>11830.190399999998</v>
      </c>
      <c r="K35" s="43">
        <v>9</v>
      </c>
      <c r="L35" s="44">
        <f t="shared" si="4"/>
        <v>11830.190399999998</v>
      </c>
      <c r="M35" s="43">
        <v>9</v>
      </c>
      <c r="N35" s="44">
        <f t="shared" si="5"/>
        <v>11830.190399999998</v>
      </c>
      <c r="O35" s="43">
        <v>9</v>
      </c>
      <c r="P35" s="44">
        <f t="shared" si="6"/>
        <v>11830.190399999998</v>
      </c>
      <c r="Q35" s="43">
        <v>9</v>
      </c>
      <c r="R35" s="44">
        <f t="shared" si="7"/>
        <v>11830.190399999998</v>
      </c>
      <c r="S35" s="43">
        <v>9</v>
      </c>
      <c r="T35" s="44">
        <f t="shared" si="8"/>
        <v>11830.190399999998</v>
      </c>
      <c r="U35" s="43">
        <v>9</v>
      </c>
      <c r="V35" s="44">
        <f t="shared" si="9"/>
        <v>11830.190399999998</v>
      </c>
      <c r="W35" s="43">
        <v>9</v>
      </c>
      <c r="X35" s="44">
        <f t="shared" si="10"/>
        <v>11830.190399999998</v>
      </c>
      <c r="Y35" s="43">
        <v>9</v>
      </c>
      <c r="Z35" s="44">
        <f t="shared" si="11"/>
        <v>11830.190399999998</v>
      </c>
      <c r="AA35" s="43">
        <v>9</v>
      </c>
      <c r="AB35" s="44">
        <f t="shared" si="12"/>
        <v>11830.190399999998</v>
      </c>
      <c r="AC35" s="43">
        <v>9</v>
      </c>
      <c r="AD35" s="44">
        <f t="shared" si="13"/>
        <v>11830.190399999998</v>
      </c>
      <c r="AE35" s="29"/>
      <c r="AF35">
        <f>944.3*1.2</f>
        <v>1133.1599999999999</v>
      </c>
    </row>
    <row r="36" spans="1:32" ht="12.75" customHeight="1" x14ac:dyDescent="0.2">
      <c r="A36" s="37"/>
      <c r="B36" s="38"/>
      <c r="C36" s="47" t="s">
        <v>68</v>
      </c>
      <c r="D36" s="45">
        <f t="shared" si="0"/>
        <v>3</v>
      </c>
      <c r="E36" s="41" t="s">
        <v>63</v>
      </c>
      <c r="F36" s="42">
        <f t="shared" si="1"/>
        <v>195.43679999999995</v>
      </c>
      <c r="G36" s="43">
        <v>0</v>
      </c>
      <c r="H36" s="44">
        <f t="shared" si="2"/>
        <v>0</v>
      </c>
      <c r="I36" s="43">
        <v>1</v>
      </c>
      <c r="J36" s="44">
        <f t="shared" si="3"/>
        <v>65.145599999999988</v>
      </c>
      <c r="K36" s="43">
        <v>0</v>
      </c>
      <c r="L36" s="44">
        <f t="shared" si="4"/>
        <v>0</v>
      </c>
      <c r="M36" s="43">
        <v>0</v>
      </c>
      <c r="N36" s="44">
        <f t="shared" si="5"/>
        <v>0</v>
      </c>
      <c r="O36" s="43">
        <v>0</v>
      </c>
      <c r="P36" s="44">
        <f t="shared" si="6"/>
        <v>0</v>
      </c>
      <c r="Q36" s="43">
        <v>1</v>
      </c>
      <c r="R36" s="44">
        <f t="shared" si="7"/>
        <v>65.145599999999988</v>
      </c>
      <c r="S36" s="43">
        <v>0</v>
      </c>
      <c r="T36" s="44">
        <f t="shared" si="8"/>
        <v>0</v>
      </c>
      <c r="U36" s="43">
        <v>0</v>
      </c>
      <c r="V36" s="44">
        <f t="shared" si="9"/>
        <v>0</v>
      </c>
      <c r="W36" s="43">
        <v>0</v>
      </c>
      <c r="X36" s="44">
        <f t="shared" si="10"/>
        <v>0</v>
      </c>
      <c r="Y36" s="43">
        <v>1</v>
      </c>
      <c r="Z36" s="44">
        <f t="shared" si="11"/>
        <v>65.145599999999988</v>
      </c>
      <c r="AA36" s="43">
        <v>0</v>
      </c>
      <c r="AB36" s="44">
        <f t="shared" si="12"/>
        <v>0</v>
      </c>
      <c r="AC36" s="43">
        <v>0</v>
      </c>
      <c r="AD36" s="44">
        <f t="shared" si="13"/>
        <v>0</v>
      </c>
      <c r="AE36" s="29"/>
      <c r="AF36">
        <f>46.8*1.2</f>
        <v>56.16</v>
      </c>
    </row>
    <row r="37" spans="1:32" ht="12.75" customHeight="1" x14ac:dyDescent="0.2">
      <c r="A37" s="37"/>
      <c r="B37" s="38"/>
      <c r="C37" s="47" t="s">
        <v>69</v>
      </c>
      <c r="D37" s="45">
        <f t="shared" si="0"/>
        <v>132</v>
      </c>
      <c r="E37" s="41" t="s">
        <v>46</v>
      </c>
      <c r="F37" s="42">
        <f t="shared" si="1"/>
        <v>210037.76639999999</v>
      </c>
      <c r="G37" s="43">
        <v>11</v>
      </c>
      <c r="H37" s="44">
        <f t="shared" si="2"/>
        <v>17503.147199999996</v>
      </c>
      <c r="I37" s="43">
        <v>11</v>
      </c>
      <c r="J37" s="44">
        <f t="shared" si="3"/>
        <v>17503.147199999996</v>
      </c>
      <c r="K37" s="43">
        <v>11</v>
      </c>
      <c r="L37" s="44">
        <f t="shared" si="4"/>
        <v>17503.147199999996</v>
      </c>
      <c r="M37" s="43">
        <v>11</v>
      </c>
      <c r="N37" s="44">
        <f t="shared" si="5"/>
        <v>17503.147199999996</v>
      </c>
      <c r="O37" s="43">
        <v>11</v>
      </c>
      <c r="P37" s="44">
        <f t="shared" si="6"/>
        <v>17503.147199999996</v>
      </c>
      <c r="Q37" s="43">
        <v>11</v>
      </c>
      <c r="R37" s="44">
        <f t="shared" si="7"/>
        <v>17503.147199999996</v>
      </c>
      <c r="S37" s="43">
        <v>11</v>
      </c>
      <c r="T37" s="44">
        <f t="shared" si="8"/>
        <v>17503.147199999996</v>
      </c>
      <c r="U37" s="43">
        <v>11</v>
      </c>
      <c r="V37" s="44">
        <f t="shared" si="9"/>
        <v>17503.147199999996</v>
      </c>
      <c r="W37" s="43">
        <v>11</v>
      </c>
      <c r="X37" s="44">
        <f t="shared" si="10"/>
        <v>17503.147199999996</v>
      </c>
      <c r="Y37" s="43">
        <v>11</v>
      </c>
      <c r="Z37" s="44">
        <f t="shared" si="11"/>
        <v>17503.147199999996</v>
      </c>
      <c r="AA37" s="43">
        <v>11</v>
      </c>
      <c r="AB37" s="44">
        <f t="shared" si="12"/>
        <v>17503.147199999996</v>
      </c>
      <c r="AC37" s="43">
        <v>11</v>
      </c>
      <c r="AD37" s="44">
        <f t="shared" si="13"/>
        <v>17503.147199999996</v>
      </c>
      <c r="AE37" s="29"/>
      <c r="AF37">
        <f>1143.1*1.2</f>
        <v>1371.7199999999998</v>
      </c>
    </row>
    <row r="38" spans="1:32" ht="12.75" customHeight="1" x14ac:dyDescent="0.2">
      <c r="A38" s="37"/>
      <c r="B38" s="38"/>
      <c r="C38" s="39" t="s">
        <v>70</v>
      </c>
      <c r="D38" s="45">
        <f t="shared" si="0"/>
        <v>180</v>
      </c>
      <c r="E38" s="41" t="s">
        <v>39</v>
      </c>
      <c r="F38" s="42">
        <f t="shared" si="1"/>
        <v>967.16160000000002</v>
      </c>
      <c r="G38" s="43">
        <v>15</v>
      </c>
      <c r="H38" s="44">
        <f t="shared" si="2"/>
        <v>80.596799999999988</v>
      </c>
      <c r="I38" s="43">
        <v>15</v>
      </c>
      <c r="J38" s="44">
        <f t="shared" si="3"/>
        <v>80.596799999999988</v>
      </c>
      <c r="K38" s="43">
        <v>15</v>
      </c>
      <c r="L38" s="44">
        <f t="shared" si="4"/>
        <v>80.596799999999988</v>
      </c>
      <c r="M38" s="43">
        <v>15</v>
      </c>
      <c r="N38" s="44">
        <f t="shared" si="5"/>
        <v>80.596799999999988</v>
      </c>
      <c r="O38" s="43">
        <v>15</v>
      </c>
      <c r="P38" s="44">
        <f t="shared" si="6"/>
        <v>80.596799999999988</v>
      </c>
      <c r="Q38" s="43">
        <v>15</v>
      </c>
      <c r="R38" s="44">
        <f t="shared" si="7"/>
        <v>80.596799999999988</v>
      </c>
      <c r="S38" s="43">
        <v>15</v>
      </c>
      <c r="T38" s="44">
        <f t="shared" si="8"/>
        <v>80.596799999999988</v>
      </c>
      <c r="U38" s="43">
        <v>15</v>
      </c>
      <c r="V38" s="44">
        <f t="shared" si="9"/>
        <v>80.596799999999988</v>
      </c>
      <c r="W38" s="43">
        <v>15</v>
      </c>
      <c r="X38" s="44">
        <f t="shared" si="10"/>
        <v>80.596799999999988</v>
      </c>
      <c r="Y38" s="43">
        <v>15</v>
      </c>
      <c r="Z38" s="44">
        <f t="shared" si="11"/>
        <v>80.596799999999988</v>
      </c>
      <c r="AA38" s="43">
        <v>15</v>
      </c>
      <c r="AB38" s="44">
        <f t="shared" si="12"/>
        <v>80.596799999999988</v>
      </c>
      <c r="AC38" s="43">
        <v>15</v>
      </c>
      <c r="AD38" s="44">
        <f t="shared" si="13"/>
        <v>80.596799999999988</v>
      </c>
      <c r="AE38" s="29"/>
      <c r="AF38">
        <f>3.86*1.2</f>
        <v>4.6319999999999997</v>
      </c>
    </row>
    <row r="39" spans="1:32" ht="12.75" customHeight="1" x14ac:dyDescent="0.2">
      <c r="A39" s="37"/>
      <c r="B39" s="38"/>
      <c r="C39" s="39" t="s">
        <v>71</v>
      </c>
      <c r="D39" s="45">
        <f t="shared" si="0"/>
        <v>120</v>
      </c>
      <c r="E39" s="41" t="s">
        <v>39</v>
      </c>
      <c r="F39" s="42">
        <f t="shared" si="1"/>
        <v>1601.9135999999996</v>
      </c>
      <c r="G39" s="43">
        <v>10</v>
      </c>
      <c r="H39" s="44">
        <f t="shared" si="2"/>
        <v>133.49279999999996</v>
      </c>
      <c r="I39" s="43">
        <v>10</v>
      </c>
      <c r="J39" s="44">
        <f t="shared" si="3"/>
        <v>133.49279999999996</v>
      </c>
      <c r="K39" s="43">
        <v>10</v>
      </c>
      <c r="L39" s="44">
        <f t="shared" si="4"/>
        <v>133.49279999999996</v>
      </c>
      <c r="M39" s="43">
        <v>10</v>
      </c>
      <c r="N39" s="44">
        <f t="shared" si="5"/>
        <v>133.49279999999996</v>
      </c>
      <c r="O39" s="43">
        <v>10</v>
      </c>
      <c r="P39" s="44">
        <f t="shared" si="6"/>
        <v>133.49279999999996</v>
      </c>
      <c r="Q39" s="43">
        <v>10</v>
      </c>
      <c r="R39" s="44">
        <f t="shared" si="7"/>
        <v>133.49279999999996</v>
      </c>
      <c r="S39" s="43">
        <v>10</v>
      </c>
      <c r="T39" s="44">
        <f t="shared" si="8"/>
        <v>133.49279999999996</v>
      </c>
      <c r="U39" s="43">
        <v>10</v>
      </c>
      <c r="V39" s="44">
        <f t="shared" si="9"/>
        <v>133.49279999999996</v>
      </c>
      <c r="W39" s="43">
        <v>10</v>
      </c>
      <c r="X39" s="44">
        <f t="shared" si="10"/>
        <v>133.49279999999996</v>
      </c>
      <c r="Y39" s="43">
        <v>10</v>
      </c>
      <c r="Z39" s="44">
        <f t="shared" si="11"/>
        <v>133.49279999999996</v>
      </c>
      <c r="AA39" s="43">
        <v>10</v>
      </c>
      <c r="AB39" s="44">
        <f t="shared" si="12"/>
        <v>133.49279999999996</v>
      </c>
      <c r="AC39" s="43">
        <v>10</v>
      </c>
      <c r="AD39" s="44">
        <f t="shared" si="13"/>
        <v>133.49279999999996</v>
      </c>
      <c r="AE39" s="29"/>
      <c r="AF39">
        <f>9.59*1.2</f>
        <v>11.507999999999999</v>
      </c>
    </row>
    <row r="40" spans="1:32" ht="12.75" customHeight="1" x14ac:dyDescent="0.2">
      <c r="A40" s="37"/>
      <c r="B40" s="38"/>
      <c r="C40" s="39" t="s">
        <v>72</v>
      </c>
      <c r="D40" s="45">
        <f t="shared" si="0"/>
        <v>400</v>
      </c>
      <c r="E40" s="41" t="s">
        <v>39</v>
      </c>
      <c r="F40" s="42">
        <f t="shared" si="1"/>
        <v>2065.7279999999996</v>
      </c>
      <c r="G40" s="43">
        <v>35</v>
      </c>
      <c r="H40" s="44">
        <f t="shared" si="2"/>
        <v>180.75119999999998</v>
      </c>
      <c r="I40" s="43">
        <v>33</v>
      </c>
      <c r="J40" s="44">
        <f t="shared" si="3"/>
        <v>170.42255999999998</v>
      </c>
      <c r="K40" s="43">
        <v>33</v>
      </c>
      <c r="L40" s="44">
        <f t="shared" si="4"/>
        <v>170.42255999999998</v>
      </c>
      <c r="M40" s="43">
        <v>33</v>
      </c>
      <c r="N40" s="44">
        <f t="shared" si="5"/>
        <v>170.42255999999998</v>
      </c>
      <c r="O40" s="43">
        <v>35</v>
      </c>
      <c r="P40" s="44">
        <f t="shared" si="6"/>
        <v>180.75119999999998</v>
      </c>
      <c r="Q40" s="43">
        <v>33</v>
      </c>
      <c r="R40" s="44">
        <f t="shared" si="7"/>
        <v>170.42255999999998</v>
      </c>
      <c r="S40" s="43">
        <v>33</v>
      </c>
      <c r="T40" s="44">
        <f t="shared" si="8"/>
        <v>170.42255999999998</v>
      </c>
      <c r="U40" s="43">
        <v>33</v>
      </c>
      <c r="V40" s="44">
        <f t="shared" si="9"/>
        <v>170.42255999999998</v>
      </c>
      <c r="W40" s="43">
        <v>33</v>
      </c>
      <c r="X40" s="44">
        <f t="shared" si="10"/>
        <v>170.42255999999998</v>
      </c>
      <c r="Y40" s="43">
        <v>33</v>
      </c>
      <c r="Z40" s="44">
        <f t="shared" si="11"/>
        <v>170.42255999999998</v>
      </c>
      <c r="AA40" s="43">
        <v>33</v>
      </c>
      <c r="AB40" s="44">
        <f t="shared" si="12"/>
        <v>170.42255999999998</v>
      </c>
      <c r="AC40" s="43">
        <v>33</v>
      </c>
      <c r="AD40" s="44">
        <f t="shared" si="13"/>
        <v>170.42255999999998</v>
      </c>
      <c r="AE40" s="29"/>
      <c r="AF40">
        <f>3.71*1.2</f>
        <v>4.452</v>
      </c>
    </row>
    <row r="41" spans="1:32" ht="12.75" customHeight="1" x14ac:dyDescent="0.2">
      <c r="A41" s="37"/>
      <c r="B41" s="38"/>
      <c r="C41" s="47" t="s">
        <v>73</v>
      </c>
      <c r="D41" s="45">
        <f t="shared" ref="D41:D72" si="14">G41+I41+K41+M41+O41+Q41+S41+U41+W41+Y41+AA41+AC41</f>
        <v>105</v>
      </c>
      <c r="E41" s="41" t="s">
        <v>39</v>
      </c>
      <c r="F41" s="42">
        <f t="shared" ref="F41:F71" si="15">H41+J41+L41+N41+P41+R41+T41+V41+X41+Z41+AB41+AD41</f>
        <v>2148.5519999999997</v>
      </c>
      <c r="G41" s="43">
        <v>8</v>
      </c>
      <c r="H41" s="44">
        <f t="shared" ref="H41:H72" si="16">(G41*AF41)*1.16</f>
        <v>163.69919999999996</v>
      </c>
      <c r="I41" s="43">
        <v>9</v>
      </c>
      <c r="J41" s="44">
        <f t="shared" ref="J41:J72" si="17">(I41*AF41)*1.16</f>
        <v>184.16159999999994</v>
      </c>
      <c r="K41" s="43">
        <v>10</v>
      </c>
      <c r="L41" s="44">
        <f t="shared" ref="L41:L72" si="18">(K41*AF41)*1.16</f>
        <v>204.62399999999997</v>
      </c>
      <c r="M41" s="43">
        <v>9</v>
      </c>
      <c r="N41" s="44">
        <f t="shared" ref="N41:N72" si="19">(M41*AF41)*1.16</f>
        <v>184.16159999999994</v>
      </c>
      <c r="O41" s="43">
        <v>10</v>
      </c>
      <c r="P41" s="44">
        <f t="shared" ref="P41:P72" si="20">(O41*AF41)*1.16</f>
        <v>204.62399999999997</v>
      </c>
      <c r="Q41" s="43">
        <v>8</v>
      </c>
      <c r="R41" s="44">
        <f t="shared" ref="R41:R72" si="21">(Q41*AF41)*1.16</f>
        <v>163.69919999999996</v>
      </c>
      <c r="S41" s="43">
        <v>9</v>
      </c>
      <c r="T41" s="44">
        <f t="shared" ref="T41:T72" si="22">(S41*AF41)*1.16</f>
        <v>184.16159999999994</v>
      </c>
      <c r="U41" s="43">
        <v>8</v>
      </c>
      <c r="V41" s="44">
        <f t="shared" ref="V41:V72" si="23">(U41*AF41)*1.16</f>
        <v>163.69919999999996</v>
      </c>
      <c r="W41" s="43">
        <v>10</v>
      </c>
      <c r="X41" s="44">
        <f t="shared" ref="X41:X72" si="24">(W41*AF41)*1.16</f>
        <v>204.62399999999997</v>
      </c>
      <c r="Y41" s="43">
        <v>8</v>
      </c>
      <c r="Z41" s="44">
        <f t="shared" ref="Z41:Z72" si="25">(Y41*AF41)*1.16</f>
        <v>163.69919999999996</v>
      </c>
      <c r="AA41" s="43">
        <v>8</v>
      </c>
      <c r="AB41" s="44">
        <f t="shared" ref="AB41:AB72" si="26">(AA41*AF41)*1.16</f>
        <v>163.69919999999996</v>
      </c>
      <c r="AC41" s="43">
        <v>8</v>
      </c>
      <c r="AD41" s="44">
        <f t="shared" ref="AD41:AD72" si="27">(AC41*AF41)*1.16</f>
        <v>163.69919999999996</v>
      </c>
      <c r="AE41" s="29"/>
      <c r="AF41">
        <f>14.7*1.2</f>
        <v>17.639999999999997</v>
      </c>
    </row>
    <row r="42" spans="1:32" ht="12.75" customHeight="1" x14ac:dyDescent="0.2">
      <c r="A42" s="37"/>
      <c r="B42" s="38"/>
      <c r="C42" s="47" t="s">
        <v>74</v>
      </c>
      <c r="D42" s="45">
        <f t="shared" si="14"/>
        <v>60</v>
      </c>
      <c r="E42" s="41" t="s">
        <v>39</v>
      </c>
      <c r="F42" s="42">
        <f t="shared" si="15"/>
        <v>3095.2512000000006</v>
      </c>
      <c r="G42" s="43">
        <v>5</v>
      </c>
      <c r="H42" s="44">
        <f t="shared" si="16"/>
        <v>257.93759999999997</v>
      </c>
      <c r="I42" s="43">
        <v>5</v>
      </c>
      <c r="J42" s="44">
        <f t="shared" si="17"/>
        <v>257.93759999999997</v>
      </c>
      <c r="K42" s="43">
        <v>5</v>
      </c>
      <c r="L42" s="44">
        <f t="shared" si="18"/>
        <v>257.93759999999997</v>
      </c>
      <c r="M42" s="43">
        <v>5</v>
      </c>
      <c r="N42" s="44">
        <f t="shared" si="19"/>
        <v>257.93759999999997</v>
      </c>
      <c r="O42" s="43">
        <v>5</v>
      </c>
      <c r="P42" s="44">
        <f t="shared" si="20"/>
        <v>257.93759999999997</v>
      </c>
      <c r="Q42" s="43">
        <v>5</v>
      </c>
      <c r="R42" s="44">
        <f t="shared" si="21"/>
        <v>257.93759999999997</v>
      </c>
      <c r="S42" s="43">
        <v>5</v>
      </c>
      <c r="T42" s="44">
        <f t="shared" si="22"/>
        <v>257.93759999999997</v>
      </c>
      <c r="U42" s="43">
        <v>5</v>
      </c>
      <c r="V42" s="44">
        <f t="shared" si="23"/>
        <v>257.93759999999997</v>
      </c>
      <c r="W42" s="43">
        <v>5</v>
      </c>
      <c r="X42" s="44">
        <f t="shared" si="24"/>
        <v>257.93759999999997</v>
      </c>
      <c r="Y42" s="43">
        <v>5</v>
      </c>
      <c r="Z42" s="44">
        <f t="shared" si="25"/>
        <v>257.93759999999997</v>
      </c>
      <c r="AA42" s="43">
        <v>5</v>
      </c>
      <c r="AB42" s="44">
        <f t="shared" si="26"/>
        <v>257.93759999999997</v>
      </c>
      <c r="AC42" s="43">
        <v>5</v>
      </c>
      <c r="AD42" s="44">
        <f t="shared" si="27"/>
        <v>257.93759999999997</v>
      </c>
      <c r="AE42" s="29"/>
      <c r="AF42">
        <f>37.06*1.2</f>
        <v>44.472000000000001</v>
      </c>
    </row>
    <row r="43" spans="1:32" ht="12.75" customHeight="1" x14ac:dyDescent="0.2">
      <c r="A43" s="37"/>
      <c r="B43" s="38"/>
      <c r="C43" s="47" t="s">
        <v>75</v>
      </c>
      <c r="D43" s="45">
        <f t="shared" si="14"/>
        <v>90</v>
      </c>
      <c r="E43" s="41" t="s">
        <v>39</v>
      </c>
      <c r="F43" s="42">
        <f t="shared" si="15"/>
        <v>2394.1007999999997</v>
      </c>
      <c r="G43" s="43">
        <v>7</v>
      </c>
      <c r="H43" s="44">
        <f t="shared" si="16"/>
        <v>186.20783999999998</v>
      </c>
      <c r="I43" s="43">
        <v>8</v>
      </c>
      <c r="J43" s="44">
        <f t="shared" si="17"/>
        <v>212.80895999999998</v>
      </c>
      <c r="K43" s="43">
        <v>7</v>
      </c>
      <c r="L43" s="44">
        <f t="shared" si="18"/>
        <v>186.20783999999998</v>
      </c>
      <c r="M43" s="43">
        <v>8</v>
      </c>
      <c r="N43" s="44">
        <f t="shared" si="19"/>
        <v>212.80895999999998</v>
      </c>
      <c r="O43" s="43">
        <v>7</v>
      </c>
      <c r="P43" s="44">
        <f t="shared" si="20"/>
        <v>186.20783999999998</v>
      </c>
      <c r="Q43" s="43">
        <v>8</v>
      </c>
      <c r="R43" s="44">
        <f t="shared" si="21"/>
        <v>212.80895999999998</v>
      </c>
      <c r="S43" s="43">
        <v>7</v>
      </c>
      <c r="T43" s="44">
        <f t="shared" si="22"/>
        <v>186.20783999999998</v>
      </c>
      <c r="U43" s="43">
        <v>8</v>
      </c>
      <c r="V43" s="44">
        <f t="shared" si="23"/>
        <v>212.80895999999998</v>
      </c>
      <c r="W43" s="43">
        <v>7</v>
      </c>
      <c r="X43" s="44">
        <f t="shared" si="24"/>
        <v>186.20783999999998</v>
      </c>
      <c r="Y43" s="43">
        <v>8</v>
      </c>
      <c r="Z43" s="44">
        <f t="shared" si="25"/>
        <v>212.80895999999998</v>
      </c>
      <c r="AA43" s="43">
        <v>7</v>
      </c>
      <c r="AB43" s="44">
        <f t="shared" si="26"/>
        <v>186.20783999999998</v>
      </c>
      <c r="AC43" s="43">
        <v>8</v>
      </c>
      <c r="AD43" s="44">
        <f t="shared" si="27"/>
        <v>212.80895999999998</v>
      </c>
      <c r="AE43" s="29"/>
      <c r="AF43">
        <f>19.11*1.2</f>
        <v>22.931999999999999</v>
      </c>
    </row>
    <row r="44" spans="1:32" ht="12.75" customHeight="1" x14ac:dyDescent="0.2">
      <c r="A44" s="37"/>
      <c r="B44" s="38"/>
      <c r="C44" s="47" t="s">
        <v>76</v>
      </c>
      <c r="D44" s="45">
        <f t="shared" si="14"/>
        <v>25</v>
      </c>
      <c r="E44" s="41" t="s">
        <v>39</v>
      </c>
      <c r="F44" s="42">
        <f t="shared" si="15"/>
        <v>2543.8799999999997</v>
      </c>
      <c r="G44" s="43">
        <v>5</v>
      </c>
      <c r="H44" s="44">
        <f t="shared" si="16"/>
        <v>508.77599999999984</v>
      </c>
      <c r="I44" s="43">
        <v>2</v>
      </c>
      <c r="J44" s="44">
        <f t="shared" si="17"/>
        <v>203.51039999999995</v>
      </c>
      <c r="K44" s="43">
        <v>2</v>
      </c>
      <c r="L44" s="44">
        <f t="shared" si="18"/>
        <v>203.51039999999995</v>
      </c>
      <c r="M44" s="43">
        <v>1</v>
      </c>
      <c r="N44" s="44">
        <f t="shared" si="19"/>
        <v>101.75519999999997</v>
      </c>
      <c r="O44" s="43">
        <v>2</v>
      </c>
      <c r="P44" s="44">
        <f t="shared" si="20"/>
        <v>203.51039999999995</v>
      </c>
      <c r="Q44" s="43">
        <v>2</v>
      </c>
      <c r="R44" s="44">
        <f t="shared" si="21"/>
        <v>203.51039999999995</v>
      </c>
      <c r="S44" s="43">
        <v>1</v>
      </c>
      <c r="T44" s="44">
        <f t="shared" si="22"/>
        <v>101.75519999999997</v>
      </c>
      <c r="U44" s="43">
        <v>2</v>
      </c>
      <c r="V44" s="44">
        <f t="shared" si="23"/>
        <v>203.51039999999995</v>
      </c>
      <c r="W44" s="43">
        <v>2</v>
      </c>
      <c r="X44" s="44">
        <f t="shared" si="24"/>
        <v>203.51039999999995</v>
      </c>
      <c r="Y44" s="43">
        <v>2</v>
      </c>
      <c r="Z44" s="44">
        <f t="shared" si="25"/>
        <v>203.51039999999995</v>
      </c>
      <c r="AA44" s="43">
        <v>2</v>
      </c>
      <c r="AB44" s="44">
        <f t="shared" si="26"/>
        <v>203.51039999999995</v>
      </c>
      <c r="AC44" s="43">
        <v>2</v>
      </c>
      <c r="AD44" s="44">
        <f t="shared" si="27"/>
        <v>203.51039999999995</v>
      </c>
      <c r="AE44" s="29"/>
      <c r="AF44">
        <f>73.1*1.2</f>
        <v>87.719999999999985</v>
      </c>
    </row>
    <row r="45" spans="1:32" ht="12.75" customHeight="1" x14ac:dyDescent="0.2">
      <c r="A45" s="37"/>
      <c r="B45" s="38"/>
      <c r="C45" s="47" t="s">
        <v>77</v>
      </c>
      <c r="D45" s="45">
        <f t="shared" si="14"/>
        <v>30</v>
      </c>
      <c r="E45" s="41" t="s">
        <v>39</v>
      </c>
      <c r="F45" s="42">
        <f t="shared" si="15"/>
        <v>8266.8096000000005</v>
      </c>
      <c r="G45" s="43">
        <v>4</v>
      </c>
      <c r="H45" s="44">
        <f t="shared" si="16"/>
        <v>1102.24128</v>
      </c>
      <c r="I45" s="43">
        <v>3</v>
      </c>
      <c r="J45" s="44">
        <f t="shared" si="17"/>
        <v>826.68095999999991</v>
      </c>
      <c r="K45" s="43">
        <v>2</v>
      </c>
      <c r="L45" s="44">
        <f t="shared" si="18"/>
        <v>551.12063999999998</v>
      </c>
      <c r="M45" s="43">
        <v>2</v>
      </c>
      <c r="N45" s="44">
        <f t="shared" si="19"/>
        <v>551.12063999999998</v>
      </c>
      <c r="O45" s="43">
        <v>3</v>
      </c>
      <c r="P45" s="44">
        <f t="shared" si="20"/>
        <v>826.68095999999991</v>
      </c>
      <c r="Q45" s="43">
        <v>2</v>
      </c>
      <c r="R45" s="44">
        <f t="shared" si="21"/>
        <v>551.12063999999998</v>
      </c>
      <c r="S45" s="43">
        <v>4</v>
      </c>
      <c r="T45" s="44">
        <f t="shared" si="22"/>
        <v>1102.24128</v>
      </c>
      <c r="U45" s="43">
        <v>2</v>
      </c>
      <c r="V45" s="44">
        <f t="shared" si="23"/>
        <v>551.12063999999998</v>
      </c>
      <c r="W45" s="43">
        <v>2</v>
      </c>
      <c r="X45" s="44">
        <f t="shared" si="24"/>
        <v>551.12063999999998</v>
      </c>
      <c r="Y45" s="43">
        <v>4</v>
      </c>
      <c r="Z45" s="44">
        <f t="shared" si="25"/>
        <v>1102.24128</v>
      </c>
      <c r="AA45" s="43">
        <v>2</v>
      </c>
      <c r="AB45" s="44">
        <f t="shared" si="26"/>
        <v>551.12063999999998</v>
      </c>
      <c r="AC45" s="43">
        <v>0</v>
      </c>
      <c r="AD45" s="44">
        <f t="shared" si="27"/>
        <v>0</v>
      </c>
      <c r="AE45" s="29"/>
      <c r="AF45">
        <f>197.96*1.2</f>
        <v>237.55199999999999</v>
      </c>
    </row>
    <row r="46" spans="1:32" ht="12.75" customHeight="1" x14ac:dyDescent="0.2">
      <c r="A46" s="37"/>
      <c r="B46" s="38"/>
      <c r="C46" s="47" t="s">
        <v>78</v>
      </c>
      <c r="D46" s="45">
        <f t="shared" si="14"/>
        <v>60</v>
      </c>
      <c r="E46" s="41" t="s">
        <v>39</v>
      </c>
      <c r="F46" s="42">
        <f t="shared" si="15"/>
        <v>725.78879999999992</v>
      </c>
      <c r="G46" s="43">
        <v>5</v>
      </c>
      <c r="H46" s="44">
        <f t="shared" si="16"/>
        <v>60.482399999999991</v>
      </c>
      <c r="I46" s="43">
        <v>5</v>
      </c>
      <c r="J46" s="44">
        <f t="shared" si="17"/>
        <v>60.482399999999991</v>
      </c>
      <c r="K46" s="43">
        <v>5</v>
      </c>
      <c r="L46" s="44">
        <f t="shared" si="18"/>
        <v>60.482399999999991</v>
      </c>
      <c r="M46" s="43">
        <v>5</v>
      </c>
      <c r="N46" s="44">
        <f t="shared" si="19"/>
        <v>60.482399999999991</v>
      </c>
      <c r="O46" s="43">
        <v>5</v>
      </c>
      <c r="P46" s="44">
        <f t="shared" si="20"/>
        <v>60.482399999999991</v>
      </c>
      <c r="Q46" s="43">
        <v>5</v>
      </c>
      <c r="R46" s="44">
        <f t="shared" si="21"/>
        <v>60.482399999999991</v>
      </c>
      <c r="S46" s="43">
        <v>5</v>
      </c>
      <c r="T46" s="44">
        <f t="shared" si="22"/>
        <v>60.482399999999991</v>
      </c>
      <c r="U46" s="43">
        <v>5</v>
      </c>
      <c r="V46" s="44">
        <f t="shared" si="23"/>
        <v>60.482399999999991</v>
      </c>
      <c r="W46" s="43">
        <v>5</v>
      </c>
      <c r="X46" s="44">
        <f t="shared" si="24"/>
        <v>60.482399999999991</v>
      </c>
      <c r="Y46" s="43">
        <v>5</v>
      </c>
      <c r="Z46" s="44">
        <f t="shared" si="25"/>
        <v>60.482399999999991</v>
      </c>
      <c r="AA46" s="43">
        <v>5</v>
      </c>
      <c r="AB46" s="44">
        <f t="shared" si="26"/>
        <v>60.482399999999991</v>
      </c>
      <c r="AC46" s="43">
        <v>5</v>
      </c>
      <c r="AD46" s="44">
        <f t="shared" si="27"/>
        <v>60.482399999999991</v>
      </c>
      <c r="AE46" s="29"/>
      <c r="AF46">
        <f>8.69*1.2</f>
        <v>10.427999999999999</v>
      </c>
    </row>
    <row r="47" spans="1:32" ht="12.75" customHeight="1" x14ac:dyDescent="0.2">
      <c r="A47" s="37"/>
      <c r="B47" s="38"/>
      <c r="C47" s="47" t="s">
        <v>79</v>
      </c>
      <c r="D47" s="45">
        <f t="shared" si="14"/>
        <v>120</v>
      </c>
      <c r="E47" s="41" t="s">
        <v>39</v>
      </c>
      <c r="F47" s="42">
        <f t="shared" si="15"/>
        <v>1451.5775999999998</v>
      </c>
      <c r="G47" s="43">
        <v>10</v>
      </c>
      <c r="H47" s="44">
        <f t="shared" si="16"/>
        <v>120.96479999999998</v>
      </c>
      <c r="I47" s="43">
        <v>10</v>
      </c>
      <c r="J47" s="44">
        <f t="shared" si="17"/>
        <v>120.96479999999998</v>
      </c>
      <c r="K47" s="43">
        <v>10</v>
      </c>
      <c r="L47" s="44">
        <f t="shared" si="18"/>
        <v>120.96479999999998</v>
      </c>
      <c r="M47" s="43">
        <v>10</v>
      </c>
      <c r="N47" s="44">
        <f t="shared" si="19"/>
        <v>120.96479999999998</v>
      </c>
      <c r="O47" s="43">
        <v>10</v>
      </c>
      <c r="P47" s="44">
        <f t="shared" si="20"/>
        <v>120.96479999999998</v>
      </c>
      <c r="Q47" s="43">
        <v>10</v>
      </c>
      <c r="R47" s="44">
        <f t="shared" si="21"/>
        <v>120.96479999999998</v>
      </c>
      <c r="S47" s="43">
        <v>10</v>
      </c>
      <c r="T47" s="44">
        <f t="shared" si="22"/>
        <v>120.96479999999998</v>
      </c>
      <c r="U47" s="43">
        <v>10</v>
      </c>
      <c r="V47" s="44">
        <f t="shared" si="23"/>
        <v>120.96479999999998</v>
      </c>
      <c r="W47" s="43">
        <v>10</v>
      </c>
      <c r="X47" s="44">
        <f t="shared" si="24"/>
        <v>120.96479999999998</v>
      </c>
      <c r="Y47" s="43">
        <v>10</v>
      </c>
      <c r="Z47" s="44">
        <f t="shared" si="25"/>
        <v>120.96479999999998</v>
      </c>
      <c r="AA47" s="43">
        <v>10</v>
      </c>
      <c r="AB47" s="44">
        <f t="shared" si="26"/>
        <v>120.96479999999998</v>
      </c>
      <c r="AC47" s="43">
        <v>10</v>
      </c>
      <c r="AD47" s="44">
        <f t="shared" si="27"/>
        <v>120.96479999999998</v>
      </c>
      <c r="AE47" s="29"/>
      <c r="AF47">
        <f>8.69*1.2</f>
        <v>10.427999999999999</v>
      </c>
    </row>
    <row r="48" spans="1:32" ht="12.75" customHeight="1" x14ac:dyDescent="0.2">
      <c r="A48" s="37"/>
      <c r="B48" s="38"/>
      <c r="C48" s="47" t="s">
        <v>80</v>
      </c>
      <c r="D48" s="45">
        <f t="shared" si="14"/>
        <v>480</v>
      </c>
      <c r="E48" s="41" t="s">
        <v>39</v>
      </c>
      <c r="F48" s="42">
        <f t="shared" si="15"/>
        <v>4924.3392000000013</v>
      </c>
      <c r="G48" s="43">
        <v>40</v>
      </c>
      <c r="H48" s="44">
        <f t="shared" si="16"/>
        <v>410.36159999999995</v>
      </c>
      <c r="I48" s="43">
        <v>40</v>
      </c>
      <c r="J48" s="44">
        <f t="shared" si="17"/>
        <v>410.36159999999995</v>
      </c>
      <c r="K48" s="43">
        <v>40</v>
      </c>
      <c r="L48" s="44">
        <f t="shared" si="18"/>
        <v>410.36159999999995</v>
      </c>
      <c r="M48" s="43">
        <v>40</v>
      </c>
      <c r="N48" s="44">
        <f t="shared" si="19"/>
        <v>410.36159999999995</v>
      </c>
      <c r="O48" s="43">
        <v>40</v>
      </c>
      <c r="P48" s="44">
        <f t="shared" si="20"/>
        <v>410.36159999999995</v>
      </c>
      <c r="Q48" s="43">
        <v>40</v>
      </c>
      <c r="R48" s="44">
        <f t="shared" si="21"/>
        <v>410.36159999999995</v>
      </c>
      <c r="S48" s="43">
        <v>40</v>
      </c>
      <c r="T48" s="44">
        <f t="shared" si="22"/>
        <v>410.36159999999995</v>
      </c>
      <c r="U48" s="43">
        <v>40</v>
      </c>
      <c r="V48" s="44">
        <f t="shared" si="23"/>
        <v>410.36159999999995</v>
      </c>
      <c r="W48" s="43">
        <v>40</v>
      </c>
      <c r="X48" s="44">
        <f t="shared" si="24"/>
        <v>410.36159999999995</v>
      </c>
      <c r="Y48" s="43">
        <v>40</v>
      </c>
      <c r="Z48" s="44">
        <f t="shared" si="25"/>
        <v>410.36159999999995</v>
      </c>
      <c r="AA48" s="43">
        <v>40</v>
      </c>
      <c r="AB48" s="44">
        <f t="shared" si="26"/>
        <v>410.36159999999995</v>
      </c>
      <c r="AC48" s="43">
        <v>40</v>
      </c>
      <c r="AD48" s="44">
        <f t="shared" si="27"/>
        <v>410.36159999999995</v>
      </c>
      <c r="AE48" s="29"/>
      <c r="AF48">
        <f>7.37*1.2</f>
        <v>8.8439999999999994</v>
      </c>
    </row>
    <row r="49" spans="1:32" ht="12.75" customHeight="1" x14ac:dyDescent="0.2">
      <c r="A49" s="37"/>
      <c r="B49" s="38"/>
      <c r="C49" s="47" t="s">
        <v>81</v>
      </c>
      <c r="D49" s="45">
        <f t="shared" si="14"/>
        <v>240</v>
      </c>
      <c r="E49" s="41" t="s">
        <v>39</v>
      </c>
      <c r="F49" s="42">
        <f t="shared" si="15"/>
        <v>2462.1696000000006</v>
      </c>
      <c r="G49" s="43">
        <v>20</v>
      </c>
      <c r="H49" s="44">
        <f t="shared" si="16"/>
        <v>205.18079999999998</v>
      </c>
      <c r="I49" s="43">
        <v>20</v>
      </c>
      <c r="J49" s="44">
        <f t="shared" si="17"/>
        <v>205.18079999999998</v>
      </c>
      <c r="K49" s="43">
        <v>20</v>
      </c>
      <c r="L49" s="44">
        <f t="shared" si="18"/>
        <v>205.18079999999998</v>
      </c>
      <c r="M49" s="43">
        <v>20</v>
      </c>
      <c r="N49" s="44">
        <f t="shared" si="19"/>
        <v>205.18079999999998</v>
      </c>
      <c r="O49" s="43">
        <v>20</v>
      </c>
      <c r="P49" s="44">
        <f t="shared" si="20"/>
        <v>205.18079999999998</v>
      </c>
      <c r="Q49" s="43">
        <v>20</v>
      </c>
      <c r="R49" s="44">
        <f t="shared" si="21"/>
        <v>205.18079999999998</v>
      </c>
      <c r="S49" s="43">
        <v>20</v>
      </c>
      <c r="T49" s="44">
        <f t="shared" si="22"/>
        <v>205.18079999999998</v>
      </c>
      <c r="U49" s="43">
        <v>20</v>
      </c>
      <c r="V49" s="44">
        <f t="shared" si="23"/>
        <v>205.18079999999998</v>
      </c>
      <c r="W49" s="43">
        <v>20</v>
      </c>
      <c r="X49" s="44">
        <f t="shared" si="24"/>
        <v>205.18079999999998</v>
      </c>
      <c r="Y49" s="43">
        <v>20</v>
      </c>
      <c r="Z49" s="44">
        <f t="shared" si="25"/>
        <v>205.18079999999998</v>
      </c>
      <c r="AA49" s="43">
        <v>20</v>
      </c>
      <c r="AB49" s="44">
        <f t="shared" si="26"/>
        <v>205.18079999999998</v>
      </c>
      <c r="AC49" s="43">
        <v>20</v>
      </c>
      <c r="AD49" s="44">
        <f t="shared" si="27"/>
        <v>205.18079999999998</v>
      </c>
      <c r="AE49" s="29"/>
      <c r="AF49">
        <f>7.37*1.2</f>
        <v>8.8439999999999994</v>
      </c>
    </row>
    <row r="50" spans="1:32" ht="12.75" customHeight="1" x14ac:dyDescent="0.2">
      <c r="A50" s="37"/>
      <c r="B50" s="38"/>
      <c r="C50" s="47" t="s">
        <v>82</v>
      </c>
      <c r="D50" s="45">
        <f t="shared" si="14"/>
        <v>240</v>
      </c>
      <c r="E50" s="41" t="s">
        <v>39</v>
      </c>
      <c r="F50" s="42">
        <f t="shared" si="15"/>
        <v>2462.1696000000006</v>
      </c>
      <c r="G50" s="43">
        <v>20</v>
      </c>
      <c r="H50" s="44">
        <f t="shared" si="16"/>
        <v>205.18079999999998</v>
      </c>
      <c r="I50" s="43">
        <v>20</v>
      </c>
      <c r="J50" s="44">
        <f t="shared" si="17"/>
        <v>205.18079999999998</v>
      </c>
      <c r="K50" s="43">
        <v>20</v>
      </c>
      <c r="L50" s="44">
        <f t="shared" si="18"/>
        <v>205.18079999999998</v>
      </c>
      <c r="M50" s="43">
        <v>20</v>
      </c>
      <c r="N50" s="44">
        <f t="shared" si="19"/>
        <v>205.18079999999998</v>
      </c>
      <c r="O50" s="43">
        <v>20</v>
      </c>
      <c r="P50" s="44">
        <f t="shared" si="20"/>
        <v>205.18079999999998</v>
      </c>
      <c r="Q50" s="43">
        <v>20</v>
      </c>
      <c r="R50" s="44">
        <f t="shared" si="21"/>
        <v>205.18079999999998</v>
      </c>
      <c r="S50" s="43">
        <v>20</v>
      </c>
      <c r="T50" s="44">
        <f t="shared" si="22"/>
        <v>205.18079999999998</v>
      </c>
      <c r="U50" s="43">
        <v>20</v>
      </c>
      <c r="V50" s="44">
        <f t="shared" si="23"/>
        <v>205.18079999999998</v>
      </c>
      <c r="W50" s="43">
        <v>20</v>
      </c>
      <c r="X50" s="44">
        <f t="shared" si="24"/>
        <v>205.18079999999998</v>
      </c>
      <c r="Y50" s="43">
        <v>20</v>
      </c>
      <c r="Z50" s="44">
        <f t="shared" si="25"/>
        <v>205.18079999999998</v>
      </c>
      <c r="AA50" s="43">
        <v>20</v>
      </c>
      <c r="AB50" s="44">
        <f t="shared" si="26"/>
        <v>205.18079999999998</v>
      </c>
      <c r="AC50" s="43">
        <v>20</v>
      </c>
      <c r="AD50" s="44">
        <f t="shared" si="27"/>
        <v>205.18079999999998</v>
      </c>
      <c r="AE50" s="29"/>
      <c r="AF50">
        <f>7.37*1.2</f>
        <v>8.8439999999999994</v>
      </c>
    </row>
    <row r="51" spans="1:32" ht="12.75" customHeight="1" x14ac:dyDescent="0.2">
      <c r="A51" s="37"/>
      <c r="B51" s="38"/>
      <c r="C51" s="47" t="s">
        <v>83</v>
      </c>
      <c r="D51" s="45">
        <f t="shared" si="14"/>
        <v>6</v>
      </c>
      <c r="E51" s="41" t="s">
        <v>63</v>
      </c>
      <c r="F51" s="42">
        <f t="shared" si="15"/>
        <v>592.15679999999998</v>
      </c>
      <c r="G51" s="43">
        <v>1</v>
      </c>
      <c r="H51" s="44">
        <f t="shared" si="16"/>
        <v>98.692799999999991</v>
      </c>
      <c r="I51" s="43">
        <v>0</v>
      </c>
      <c r="J51" s="44">
        <f t="shared" si="17"/>
        <v>0</v>
      </c>
      <c r="K51" s="43">
        <v>1</v>
      </c>
      <c r="L51" s="44">
        <f t="shared" si="18"/>
        <v>98.692799999999991</v>
      </c>
      <c r="M51" s="43">
        <v>0</v>
      </c>
      <c r="N51" s="44">
        <f t="shared" si="19"/>
        <v>0</v>
      </c>
      <c r="O51" s="43">
        <v>1</v>
      </c>
      <c r="P51" s="44">
        <f t="shared" si="20"/>
        <v>98.692799999999991</v>
      </c>
      <c r="Q51" s="43">
        <v>0</v>
      </c>
      <c r="R51" s="44">
        <f t="shared" si="21"/>
        <v>0</v>
      </c>
      <c r="S51" s="43">
        <v>1</v>
      </c>
      <c r="T51" s="44">
        <f t="shared" si="22"/>
        <v>98.692799999999991</v>
      </c>
      <c r="U51" s="43">
        <v>0</v>
      </c>
      <c r="V51" s="44">
        <f t="shared" si="23"/>
        <v>0</v>
      </c>
      <c r="W51" s="43">
        <v>1</v>
      </c>
      <c r="X51" s="44">
        <f t="shared" si="24"/>
        <v>98.692799999999991</v>
      </c>
      <c r="Y51" s="43">
        <v>0</v>
      </c>
      <c r="Z51" s="44">
        <f t="shared" si="25"/>
        <v>0</v>
      </c>
      <c r="AA51" s="43">
        <v>1</v>
      </c>
      <c r="AB51" s="44">
        <f t="shared" si="26"/>
        <v>98.692799999999991</v>
      </c>
      <c r="AC51" s="43">
        <v>0</v>
      </c>
      <c r="AD51" s="44">
        <f t="shared" si="27"/>
        <v>0</v>
      </c>
      <c r="AE51" s="29"/>
      <c r="AF51">
        <f>70.9*1.2</f>
        <v>85.08</v>
      </c>
    </row>
    <row r="52" spans="1:32" ht="12.75" customHeight="1" x14ac:dyDescent="0.2">
      <c r="A52" s="37"/>
      <c r="B52" s="38"/>
      <c r="C52" s="47" t="s">
        <v>84</v>
      </c>
      <c r="D52" s="45">
        <f t="shared" si="14"/>
        <v>30</v>
      </c>
      <c r="E52" s="41" t="s">
        <v>63</v>
      </c>
      <c r="F52" s="42">
        <f t="shared" si="15"/>
        <v>2491.8191999999995</v>
      </c>
      <c r="G52" s="43">
        <v>3</v>
      </c>
      <c r="H52" s="44">
        <f t="shared" si="16"/>
        <v>249.18191999999999</v>
      </c>
      <c r="I52" s="43">
        <v>3</v>
      </c>
      <c r="J52" s="44">
        <f t="shared" si="17"/>
        <v>249.18191999999999</v>
      </c>
      <c r="K52" s="43">
        <v>2</v>
      </c>
      <c r="L52" s="44">
        <f t="shared" si="18"/>
        <v>166.12127999999998</v>
      </c>
      <c r="M52" s="43">
        <v>3</v>
      </c>
      <c r="N52" s="44">
        <f t="shared" si="19"/>
        <v>249.18191999999999</v>
      </c>
      <c r="O52" s="43">
        <v>3</v>
      </c>
      <c r="P52" s="44">
        <f t="shared" si="20"/>
        <v>249.18191999999999</v>
      </c>
      <c r="Q52" s="43">
        <v>2</v>
      </c>
      <c r="R52" s="44">
        <f t="shared" si="21"/>
        <v>166.12127999999998</v>
      </c>
      <c r="S52" s="43">
        <v>3</v>
      </c>
      <c r="T52" s="44">
        <f t="shared" si="22"/>
        <v>249.18191999999999</v>
      </c>
      <c r="U52" s="43">
        <v>2</v>
      </c>
      <c r="V52" s="44">
        <f t="shared" si="23"/>
        <v>166.12127999999998</v>
      </c>
      <c r="W52" s="43">
        <v>3</v>
      </c>
      <c r="X52" s="44">
        <f t="shared" si="24"/>
        <v>249.18191999999999</v>
      </c>
      <c r="Y52" s="43">
        <v>2</v>
      </c>
      <c r="Z52" s="44">
        <f t="shared" si="25"/>
        <v>166.12127999999998</v>
      </c>
      <c r="AA52" s="43">
        <v>2</v>
      </c>
      <c r="AB52" s="44">
        <f t="shared" si="26"/>
        <v>166.12127999999998</v>
      </c>
      <c r="AC52" s="43">
        <v>2</v>
      </c>
      <c r="AD52" s="44">
        <f t="shared" si="27"/>
        <v>166.12127999999998</v>
      </c>
      <c r="AE52" s="29"/>
      <c r="AF52">
        <f>59.67*1.2</f>
        <v>71.603999999999999</v>
      </c>
    </row>
    <row r="53" spans="1:32" ht="12.75" customHeight="1" x14ac:dyDescent="0.2">
      <c r="A53" s="37"/>
      <c r="B53" s="38"/>
      <c r="C53" s="47" t="s">
        <v>85</v>
      </c>
      <c r="D53" s="45">
        <f t="shared" si="14"/>
        <v>20</v>
      </c>
      <c r="E53" s="41" t="s">
        <v>63</v>
      </c>
      <c r="F53" s="42">
        <f t="shared" si="15"/>
        <v>2703.5423999999994</v>
      </c>
      <c r="G53" s="43">
        <v>1</v>
      </c>
      <c r="H53" s="44">
        <f t="shared" si="16"/>
        <v>135.17711999999997</v>
      </c>
      <c r="I53" s="43">
        <v>2</v>
      </c>
      <c r="J53" s="44">
        <f t="shared" si="17"/>
        <v>270.35423999999995</v>
      </c>
      <c r="K53" s="43">
        <v>1</v>
      </c>
      <c r="L53" s="44">
        <f t="shared" si="18"/>
        <v>135.17711999999997</v>
      </c>
      <c r="M53" s="43">
        <v>2</v>
      </c>
      <c r="N53" s="44">
        <f t="shared" si="19"/>
        <v>270.35423999999995</v>
      </c>
      <c r="O53" s="43">
        <v>2</v>
      </c>
      <c r="P53" s="44">
        <f t="shared" si="20"/>
        <v>270.35423999999995</v>
      </c>
      <c r="Q53" s="43">
        <v>2</v>
      </c>
      <c r="R53" s="44">
        <f t="shared" si="21"/>
        <v>270.35423999999995</v>
      </c>
      <c r="S53" s="43">
        <v>1</v>
      </c>
      <c r="T53" s="44">
        <f t="shared" si="22"/>
        <v>135.17711999999997</v>
      </c>
      <c r="U53" s="43">
        <v>2</v>
      </c>
      <c r="V53" s="44">
        <f t="shared" si="23"/>
        <v>270.35423999999995</v>
      </c>
      <c r="W53" s="43">
        <v>2</v>
      </c>
      <c r="X53" s="44">
        <f t="shared" si="24"/>
        <v>270.35423999999995</v>
      </c>
      <c r="Y53" s="43">
        <v>2</v>
      </c>
      <c r="Z53" s="44">
        <f t="shared" si="25"/>
        <v>270.35423999999995</v>
      </c>
      <c r="AA53" s="43">
        <v>1</v>
      </c>
      <c r="AB53" s="44">
        <f t="shared" si="26"/>
        <v>135.17711999999997</v>
      </c>
      <c r="AC53" s="43">
        <v>2</v>
      </c>
      <c r="AD53" s="44">
        <f t="shared" si="27"/>
        <v>270.35423999999995</v>
      </c>
      <c r="AE53" s="29"/>
      <c r="AF53">
        <f>97.11*1.2</f>
        <v>116.532</v>
      </c>
    </row>
    <row r="54" spans="1:32" ht="12.75" customHeight="1" x14ac:dyDescent="0.2">
      <c r="A54" s="37"/>
      <c r="B54" s="38"/>
      <c r="C54" s="47" t="s">
        <v>86</v>
      </c>
      <c r="D54" s="45">
        <f t="shared" si="14"/>
        <v>300</v>
      </c>
      <c r="E54" s="41" t="s">
        <v>39</v>
      </c>
      <c r="F54" s="42">
        <f t="shared" si="15"/>
        <v>6405.9840000000004</v>
      </c>
      <c r="G54" s="43">
        <v>25</v>
      </c>
      <c r="H54" s="44">
        <f t="shared" si="16"/>
        <v>533.83199999999988</v>
      </c>
      <c r="I54" s="43">
        <v>25</v>
      </c>
      <c r="J54" s="44">
        <f t="shared" si="17"/>
        <v>533.83199999999988</v>
      </c>
      <c r="K54" s="43">
        <v>25</v>
      </c>
      <c r="L54" s="44">
        <f t="shared" si="18"/>
        <v>533.83199999999988</v>
      </c>
      <c r="M54" s="43">
        <v>25</v>
      </c>
      <c r="N54" s="44">
        <f t="shared" si="19"/>
        <v>533.83199999999988</v>
      </c>
      <c r="O54" s="43">
        <v>25</v>
      </c>
      <c r="P54" s="44">
        <f t="shared" si="20"/>
        <v>533.83199999999988</v>
      </c>
      <c r="Q54" s="43">
        <v>25</v>
      </c>
      <c r="R54" s="44">
        <f t="shared" si="21"/>
        <v>533.83199999999988</v>
      </c>
      <c r="S54" s="43">
        <v>25</v>
      </c>
      <c r="T54" s="44">
        <f t="shared" si="22"/>
        <v>533.83199999999988</v>
      </c>
      <c r="U54" s="43">
        <v>25</v>
      </c>
      <c r="V54" s="44">
        <f t="shared" si="23"/>
        <v>533.83199999999988</v>
      </c>
      <c r="W54" s="43">
        <v>25</v>
      </c>
      <c r="X54" s="44">
        <f t="shared" si="24"/>
        <v>533.83199999999988</v>
      </c>
      <c r="Y54" s="43">
        <v>25</v>
      </c>
      <c r="Z54" s="44">
        <f t="shared" si="25"/>
        <v>533.83199999999988</v>
      </c>
      <c r="AA54" s="43">
        <v>25</v>
      </c>
      <c r="AB54" s="44">
        <f t="shared" si="26"/>
        <v>533.83199999999988</v>
      </c>
      <c r="AC54" s="43">
        <v>25</v>
      </c>
      <c r="AD54" s="44">
        <f t="shared" si="27"/>
        <v>533.83199999999988</v>
      </c>
      <c r="AE54" s="29"/>
      <c r="AF54">
        <f>15.34*1.2</f>
        <v>18.407999999999998</v>
      </c>
    </row>
    <row r="55" spans="1:32" ht="12.75" customHeight="1" x14ac:dyDescent="0.2">
      <c r="A55" s="37"/>
      <c r="B55" s="38"/>
      <c r="C55" s="47" t="s">
        <v>87</v>
      </c>
      <c r="D55" s="45">
        <f t="shared" si="14"/>
        <v>30</v>
      </c>
      <c r="E55" s="41" t="s">
        <v>39</v>
      </c>
      <c r="F55" s="42">
        <f t="shared" si="15"/>
        <v>7471.6991999999991</v>
      </c>
      <c r="G55" s="43">
        <v>0</v>
      </c>
      <c r="H55" s="44">
        <f t="shared" si="16"/>
        <v>0</v>
      </c>
      <c r="I55" s="43">
        <v>5</v>
      </c>
      <c r="J55" s="44">
        <f t="shared" si="17"/>
        <v>1245.2831999999999</v>
      </c>
      <c r="K55" s="43">
        <v>0</v>
      </c>
      <c r="L55" s="44">
        <f t="shared" si="18"/>
        <v>0</v>
      </c>
      <c r="M55" s="43">
        <v>5</v>
      </c>
      <c r="N55" s="44">
        <f t="shared" si="19"/>
        <v>1245.2831999999999</v>
      </c>
      <c r="O55" s="43">
        <v>0</v>
      </c>
      <c r="P55" s="44">
        <f t="shared" si="20"/>
        <v>0</v>
      </c>
      <c r="Q55" s="43">
        <v>5</v>
      </c>
      <c r="R55" s="44">
        <f t="shared" si="21"/>
        <v>1245.2831999999999</v>
      </c>
      <c r="S55" s="43">
        <v>0</v>
      </c>
      <c r="T55" s="44">
        <f t="shared" si="22"/>
        <v>0</v>
      </c>
      <c r="U55" s="43">
        <v>5</v>
      </c>
      <c r="V55" s="44">
        <f t="shared" si="23"/>
        <v>1245.2831999999999</v>
      </c>
      <c r="W55" s="43">
        <v>0</v>
      </c>
      <c r="X55" s="44">
        <f t="shared" si="24"/>
        <v>0</v>
      </c>
      <c r="Y55" s="43">
        <v>5</v>
      </c>
      <c r="Z55" s="44">
        <f t="shared" si="25"/>
        <v>1245.2831999999999</v>
      </c>
      <c r="AA55" s="43">
        <v>0</v>
      </c>
      <c r="AB55" s="44">
        <f t="shared" si="26"/>
        <v>0</v>
      </c>
      <c r="AC55" s="43">
        <v>5</v>
      </c>
      <c r="AD55" s="44">
        <f t="shared" si="27"/>
        <v>1245.2831999999999</v>
      </c>
      <c r="AE55" s="29"/>
      <c r="AF55">
        <f>178.92*1.2</f>
        <v>214.70399999999998</v>
      </c>
    </row>
    <row r="56" spans="1:32" ht="12.75" customHeight="1" x14ac:dyDescent="0.2">
      <c r="A56" s="37"/>
      <c r="B56" s="38"/>
      <c r="C56" s="47" t="s">
        <v>88</v>
      </c>
      <c r="D56" s="45">
        <f t="shared" si="14"/>
        <v>4</v>
      </c>
      <c r="E56" s="41" t="s">
        <v>39</v>
      </c>
      <c r="F56" s="42">
        <f t="shared" si="15"/>
        <v>845.6121599999999</v>
      </c>
      <c r="G56" s="43">
        <v>0</v>
      </c>
      <c r="H56" s="44">
        <f t="shared" si="16"/>
        <v>0</v>
      </c>
      <c r="I56" s="43">
        <v>1</v>
      </c>
      <c r="J56" s="44">
        <f t="shared" si="17"/>
        <v>211.40303999999998</v>
      </c>
      <c r="K56" s="43">
        <v>0</v>
      </c>
      <c r="L56" s="44">
        <f t="shared" si="18"/>
        <v>0</v>
      </c>
      <c r="M56" s="43">
        <v>0</v>
      </c>
      <c r="N56" s="44">
        <f t="shared" si="19"/>
        <v>0</v>
      </c>
      <c r="O56" s="43">
        <v>1</v>
      </c>
      <c r="P56" s="44">
        <f t="shared" si="20"/>
        <v>211.40303999999998</v>
      </c>
      <c r="Q56" s="43">
        <v>0</v>
      </c>
      <c r="R56" s="44">
        <f t="shared" si="21"/>
        <v>0</v>
      </c>
      <c r="S56" s="43">
        <v>0</v>
      </c>
      <c r="T56" s="44">
        <f t="shared" si="22"/>
        <v>0</v>
      </c>
      <c r="U56" s="43">
        <v>1</v>
      </c>
      <c r="V56" s="44">
        <f t="shared" si="23"/>
        <v>211.40303999999998</v>
      </c>
      <c r="W56" s="43">
        <v>0</v>
      </c>
      <c r="X56" s="44">
        <f t="shared" si="24"/>
        <v>0</v>
      </c>
      <c r="Y56" s="43">
        <v>1</v>
      </c>
      <c r="Z56" s="44">
        <f t="shared" si="25"/>
        <v>211.40303999999998</v>
      </c>
      <c r="AA56" s="43">
        <v>0</v>
      </c>
      <c r="AB56" s="44">
        <f t="shared" si="26"/>
        <v>0</v>
      </c>
      <c r="AC56" s="43">
        <v>0</v>
      </c>
      <c r="AD56" s="44">
        <f t="shared" si="27"/>
        <v>0</v>
      </c>
      <c r="AE56" s="29"/>
      <c r="AF56">
        <f>151.87*1.2</f>
        <v>182.244</v>
      </c>
    </row>
    <row r="57" spans="1:32" ht="12.75" customHeight="1" x14ac:dyDescent="0.2">
      <c r="A57" s="37"/>
      <c r="B57" s="38"/>
      <c r="C57" s="47" t="s">
        <v>89</v>
      </c>
      <c r="D57" s="45">
        <f t="shared" si="14"/>
        <v>16</v>
      </c>
      <c r="E57" s="41" t="s">
        <v>63</v>
      </c>
      <c r="F57" s="42">
        <f t="shared" si="15"/>
        <v>1692.672</v>
      </c>
      <c r="G57" s="43">
        <v>4</v>
      </c>
      <c r="H57" s="44">
        <f t="shared" si="16"/>
        <v>423.16800000000001</v>
      </c>
      <c r="I57" s="43">
        <v>0</v>
      </c>
      <c r="J57" s="44">
        <f t="shared" si="17"/>
        <v>0</v>
      </c>
      <c r="K57" s="43">
        <v>0</v>
      </c>
      <c r="L57" s="44">
        <f t="shared" si="18"/>
        <v>0</v>
      </c>
      <c r="M57" s="43">
        <v>0</v>
      </c>
      <c r="N57" s="44">
        <f t="shared" si="19"/>
        <v>0</v>
      </c>
      <c r="O57" s="43">
        <v>4</v>
      </c>
      <c r="P57" s="44">
        <f t="shared" si="20"/>
        <v>423.16800000000001</v>
      </c>
      <c r="Q57" s="43">
        <v>0</v>
      </c>
      <c r="R57" s="44">
        <f t="shared" si="21"/>
        <v>0</v>
      </c>
      <c r="S57" s="43">
        <v>0</v>
      </c>
      <c r="T57" s="44">
        <f t="shared" si="22"/>
        <v>0</v>
      </c>
      <c r="U57" s="43">
        <v>4</v>
      </c>
      <c r="V57" s="44">
        <f t="shared" si="23"/>
        <v>423.16800000000001</v>
      </c>
      <c r="W57" s="43">
        <v>0</v>
      </c>
      <c r="X57" s="44">
        <f t="shared" si="24"/>
        <v>0</v>
      </c>
      <c r="Y57" s="43">
        <v>4</v>
      </c>
      <c r="Z57" s="44">
        <f t="shared" si="25"/>
        <v>423.16800000000001</v>
      </c>
      <c r="AA57" s="43">
        <v>0</v>
      </c>
      <c r="AB57" s="44">
        <f t="shared" si="26"/>
        <v>0</v>
      </c>
      <c r="AC57" s="43">
        <v>0</v>
      </c>
      <c r="AD57" s="44">
        <f t="shared" si="27"/>
        <v>0</v>
      </c>
      <c r="AE57" s="29"/>
      <c r="AF57">
        <f>76*1.2</f>
        <v>91.2</v>
      </c>
    </row>
    <row r="58" spans="1:32" ht="12.75" customHeight="1" x14ac:dyDescent="0.2">
      <c r="A58" s="37"/>
      <c r="B58" s="38"/>
      <c r="C58" s="47" t="s">
        <v>90</v>
      </c>
      <c r="D58" s="45">
        <f t="shared" si="14"/>
        <v>9</v>
      </c>
      <c r="E58" s="41" t="s">
        <v>63</v>
      </c>
      <c r="F58" s="42">
        <f t="shared" si="15"/>
        <v>866.18592000000001</v>
      </c>
      <c r="G58" s="43">
        <v>1</v>
      </c>
      <c r="H58" s="44">
        <f t="shared" si="16"/>
        <v>96.24288</v>
      </c>
      <c r="I58" s="43">
        <v>0</v>
      </c>
      <c r="J58" s="44">
        <f t="shared" si="17"/>
        <v>0</v>
      </c>
      <c r="K58" s="43">
        <v>1</v>
      </c>
      <c r="L58" s="44">
        <f t="shared" si="18"/>
        <v>96.24288</v>
      </c>
      <c r="M58" s="43">
        <v>0</v>
      </c>
      <c r="N58" s="44">
        <f t="shared" si="19"/>
        <v>0</v>
      </c>
      <c r="O58" s="43">
        <v>1</v>
      </c>
      <c r="P58" s="44">
        <f t="shared" si="20"/>
        <v>96.24288</v>
      </c>
      <c r="Q58" s="43">
        <v>1</v>
      </c>
      <c r="R58" s="44">
        <f t="shared" si="21"/>
        <v>96.24288</v>
      </c>
      <c r="S58" s="43">
        <v>1</v>
      </c>
      <c r="T58" s="44">
        <f t="shared" si="22"/>
        <v>96.24288</v>
      </c>
      <c r="U58" s="43">
        <v>0</v>
      </c>
      <c r="V58" s="44">
        <f t="shared" si="23"/>
        <v>0</v>
      </c>
      <c r="W58" s="43">
        <v>1</v>
      </c>
      <c r="X58" s="44">
        <f t="shared" si="24"/>
        <v>96.24288</v>
      </c>
      <c r="Y58" s="43">
        <v>1</v>
      </c>
      <c r="Z58" s="44">
        <f t="shared" si="25"/>
        <v>96.24288</v>
      </c>
      <c r="AA58" s="43">
        <v>1</v>
      </c>
      <c r="AB58" s="44">
        <f t="shared" si="26"/>
        <v>96.24288</v>
      </c>
      <c r="AC58" s="43">
        <v>1</v>
      </c>
      <c r="AD58" s="44">
        <f t="shared" si="27"/>
        <v>96.24288</v>
      </c>
      <c r="AE58" s="29"/>
      <c r="AF58">
        <f>69.14*1.2</f>
        <v>82.968000000000004</v>
      </c>
    </row>
    <row r="59" spans="1:32" ht="12.75" customHeight="1" x14ac:dyDescent="0.2">
      <c r="A59" s="37"/>
      <c r="B59" s="38"/>
      <c r="C59" s="47" t="s">
        <v>91</v>
      </c>
      <c r="D59" s="45">
        <f t="shared" si="14"/>
        <v>96</v>
      </c>
      <c r="E59" s="41" t="s">
        <v>39</v>
      </c>
      <c r="F59" s="42">
        <f t="shared" si="15"/>
        <v>4508.7436799999996</v>
      </c>
      <c r="G59" s="43">
        <v>8</v>
      </c>
      <c r="H59" s="44">
        <f t="shared" si="16"/>
        <v>375.72863999999998</v>
      </c>
      <c r="I59" s="43">
        <v>8</v>
      </c>
      <c r="J59" s="44">
        <f t="shared" si="17"/>
        <v>375.72863999999998</v>
      </c>
      <c r="K59" s="43">
        <v>8</v>
      </c>
      <c r="L59" s="44">
        <f t="shared" si="18"/>
        <v>375.72863999999998</v>
      </c>
      <c r="M59" s="43">
        <v>8</v>
      </c>
      <c r="N59" s="44">
        <f t="shared" si="19"/>
        <v>375.72863999999998</v>
      </c>
      <c r="O59" s="43">
        <v>8</v>
      </c>
      <c r="P59" s="44">
        <f t="shared" si="20"/>
        <v>375.72863999999998</v>
      </c>
      <c r="Q59" s="43">
        <v>8</v>
      </c>
      <c r="R59" s="44">
        <f t="shared" si="21"/>
        <v>375.72863999999998</v>
      </c>
      <c r="S59" s="43">
        <v>8</v>
      </c>
      <c r="T59" s="44">
        <f t="shared" si="22"/>
        <v>375.72863999999998</v>
      </c>
      <c r="U59" s="43">
        <v>8</v>
      </c>
      <c r="V59" s="44">
        <f t="shared" si="23"/>
        <v>375.72863999999998</v>
      </c>
      <c r="W59" s="43">
        <v>8</v>
      </c>
      <c r="X59" s="44">
        <f t="shared" si="24"/>
        <v>375.72863999999998</v>
      </c>
      <c r="Y59" s="43">
        <v>8</v>
      </c>
      <c r="Z59" s="44">
        <f t="shared" si="25"/>
        <v>375.72863999999998</v>
      </c>
      <c r="AA59" s="43">
        <v>8</v>
      </c>
      <c r="AB59" s="44">
        <f t="shared" si="26"/>
        <v>375.72863999999998</v>
      </c>
      <c r="AC59" s="43">
        <v>8</v>
      </c>
      <c r="AD59" s="44">
        <f t="shared" si="27"/>
        <v>375.72863999999998</v>
      </c>
      <c r="AE59" s="29"/>
      <c r="AF59">
        <f>33.74*1.2</f>
        <v>40.488</v>
      </c>
    </row>
    <row r="60" spans="1:32" ht="12.75" customHeight="1" x14ac:dyDescent="0.2">
      <c r="A60" s="37"/>
      <c r="B60" s="38"/>
      <c r="C60" s="47" t="s">
        <v>92</v>
      </c>
      <c r="D60" s="45">
        <f t="shared" si="14"/>
        <v>48</v>
      </c>
      <c r="E60" s="41" t="s">
        <v>39</v>
      </c>
      <c r="F60" s="42">
        <f t="shared" si="15"/>
        <v>2206.2643199999998</v>
      </c>
      <c r="G60" s="43">
        <v>4</v>
      </c>
      <c r="H60" s="44">
        <f t="shared" si="16"/>
        <v>183.85535999999999</v>
      </c>
      <c r="I60" s="43">
        <v>4</v>
      </c>
      <c r="J60" s="44">
        <f t="shared" si="17"/>
        <v>183.85535999999999</v>
      </c>
      <c r="K60" s="43">
        <v>4</v>
      </c>
      <c r="L60" s="44">
        <f t="shared" si="18"/>
        <v>183.85535999999999</v>
      </c>
      <c r="M60" s="43">
        <v>4</v>
      </c>
      <c r="N60" s="44">
        <f t="shared" si="19"/>
        <v>183.85535999999999</v>
      </c>
      <c r="O60" s="43">
        <v>4</v>
      </c>
      <c r="P60" s="44">
        <f t="shared" si="20"/>
        <v>183.85535999999999</v>
      </c>
      <c r="Q60" s="43">
        <v>4</v>
      </c>
      <c r="R60" s="44">
        <f t="shared" si="21"/>
        <v>183.85535999999999</v>
      </c>
      <c r="S60" s="43">
        <v>4</v>
      </c>
      <c r="T60" s="44">
        <f t="shared" si="22"/>
        <v>183.85535999999999</v>
      </c>
      <c r="U60" s="43">
        <v>4</v>
      </c>
      <c r="V60" s="44">
        <f t="shared" si="23"/>
        <v>183.85535999999999</v>
      </c>
      <c r="W60" s="43">
        <v>4</v>
      </c>
      <c r="X60" s="44">
        <f t="shared" si="24"/>
        <v>183.85535999999999</v>
      </c>
      <c r="Y60" s="43">
        <v>4</v>
      </c>
      <c r="Z60" s="44">
        <f t="shared" si="25"/>
        <v>183.85535999999999</v>
      </c>
      <c r="AA60" s="43">
        <v>4</v>
      </c>
      <c r="AB60" s="44">
        <f t="shared" si="26"/>
        <v>183.85535999999999</v>
      </c>
      <c r="AC60" s="43">
        <v>4</v>
      </c>
      <c r="AD60" s="44">
        <f t="shared" si="27"/>
        <v>183.85535999999999</v>
      </c>
      <c r="AE60" s="29"/>
      <c r="AF60">
        <f>33.02*1.2</f>
        <v>39.624000000000002</v>
      </c>
    </row>
    <row r="61" spans="1:32" ht="12.75" customHeight="1" x14ac:dyDescent="0.2">
      <c r="A61" s="37"/>
      <c r="B61" s="38"/>
      <c r="C61" s="47" t="s">
        <v>93</v>
      </c>
      <c r="D61" s="45">
        <f t="shared" si="14"/>
        <v>45</v>
      </c>
      <c r="E61" s="41" t="s">
        <v>39</v>
      </c>
      <c r="F61" s="42">
        <f t="shared" si="15"/>
        <v>656.46719999999993</v>
      </c>
      <c r="G61" s="43">
        <v>3</v>
      </c>
      <c r="H61" s="44">
        <f t="shared" si="16"/>
        <v>43.764479999999999</v>
      </c>
      <c r="I61" s="43">
        <v>5</v>
      </c>
      <c r="J61" s="44">
        <f t="shared" si="17"/>
        <v>72.940799999999996</v>
      </c>
      <c r="K61" s="43">
        <v>3</v>
      </c>
      <c r="L61" s="44">
        <f t="shared" si="18"/>
        <v>43.764479999999999</v>
      </c>
      <c r="M61" s="43">
        <v>4</v>
      </c>
      <c r="N61" s="44">
        <f t="shared" si="19"/>
        <v>58.352640000000001</v>
      </c>
      <c r="O61" s="43">
        <v>3</v>
      </c>
      <c r="P61" s="44">
        <f t="shared" si="20"/>
        <v>43.764479999999999</v>
      </c>
      <c r="Q61" s="43">
        <v>4</v>
      </c>
      <c r="R61" s="44">
        <f t="shared" si="21"/>
        <v>58.352640000000001</v>
      </c>
      <c r="S61" s="43">
        <v>3</v>
      </c>
      <c r="T61" s="44">
        <f t="shared" si="22"/>
        <v>43.764479999999999</v>
      </c>
      <c r="U61" s="43">
        <v>4</v>
      </c>
      <c r="V61" s="44">
        <f t="shared" si="23"/>
        <v>58.352640000000001</v>
      </c>
      <c r="W61" s="43">
        <v>5</v>
      </c>
      <c r="X61" s="44">
        <f t="shared" si="24"/>
        <v>72.940799999999996</v>
      </c>
      <c r="Y61" s="43">
        <v>4</v>
      </c>
      <c r="Z61" s="44">
        <f t="shared" si="25"/>
        <v>58.352640000000001</v>
      </c>
      <c r="AA61" s="43">
        <v>3</v>
      </c>
      <c r="AB61" s="44">
        <f t="shared" si="26"/>
        <v>43.764479999999999</v>
      </c>
      <c r="AC61" s="43">
        <v>4</v>
      </c>
      <c r="AD61" s="44">
        <f t="shared" si="27"/>
        <v>58.352640000000001</v>
      </c>
      <c r="AE61" s="50"/>
      <c r="AF61" s="29">
        <f>10.48*1.2</f>
        <v>12.576000000000001</v>
      </c>
    </row>
    <row r="62" spans="1:32" ht="12.75" customHeight="1" x14ac:dyDescent="0.2">
      <c r="A62" s="37"/>
      <c r="B62" s="38"/>
      <c r="C62" s="47" t="s">
        <v>94</v>
      </c>
      <c r="D62" s="45">
        <f t="shared" si="14"/>
        <v>200</v>
      </c>
      <c r="E62" s="41" t="s">
        <v>39</v>
      </c>
      <c r="F62" s="42">
        <f t="shared" si="15"/>
        <v>178.17599999999996</v>
      </c>
      <c r="G62" s="43">
        <v>16</v>
      </c>
      <c r="H62" s="44">
        <f t="shared" si="16"/>
        <v>14.25408</v>
      </c>
      <c r="I62" s="43">
        <v>20</v>
      </c>
      <c r="J62" s="44">
        <f t="shared" si="17"/>
        <v>17.817599999999999</v>
      </c>
      <c r="K62" s="43">
        <v>16</v>
      </c>
      <c r="L62" s="44">
        <f t="shared" si="18"/>
        <v>14.25408</v>
      </c>
      <c r="M62" s="43">
        <v>16</v>
      </c>
      <c r="N62" s="44">
        <f t="shared" si="19"/>
        <v>14.25408</v>
      </c>
      <c r="O62" s="43">
        <v>18</v>
      </c>
      <c r="P62" s="44">
        <f t="shared" si="20"/>
        <v>16.03584</v>
      </c>
      <c r="Q62" s="43">
        <v>16</v>
      </c>
      <c r="R62" s="44">
        <f t="shared" si="21"/>
        <v>14.25408</v>
      </c>
      <c r="S62" s="43">
        <v>16</v>
      </c>
      <c r="T62" s="44">
        <f t="shared" si="22"/>
        <v>14.25408</v>
      </c>
      <c r="U62" s="43">
        <v>18</v>
      </c>
      <c r="V62" s="44">
        <f t="shared" si="23"/>
        <v>16.03584</v>
      </c>
      <c r="W62" s="43">
        <v>16</v>
      </c>
      <c r="X62" s="44">
        <f t="shared" si="24"/>
        <v>14.25408</v>
      </c>
      <c r="Y62" s="43">
        <v>16</v>
      </c>
      <c r="Z62" s="44">
        <f t="shared" si="25"/>
        <v>14.25408</v>
      </c>
      <c r="AA62" s="43">
        <v>16</v>
      </c>
      <c r="AB62" s="44">
        <f t="shared" si="26"/>
        <v>14.25408</v>
      </c>
      <c r="AC62" s="43">
        <v>16</v>
      </c>
      <c r="AD62" s="44">
        <f t="shared" si="27"/>
        <v>14.25408</v>
      </c>
      <c r="AE62" s="50"/>
      <c r="AF62" s="29">
        <f>0.64*1.2</f>
        <v>0.76800000000000002</v>
      </c>
    </row>
    <row r="63" spans="1:32" ht="13.5" customHeight="1" x14ac:dyDescent="0.2">
      <c r="A63" s="37"/>
      <c r="B63" s="38"/>
      <c r="C63" s="39" t="s">
        <v>95</v>
      </c>
      <c r="D63" s="45">
        <f t="shared" si="14"/>
        <v>300</v>
      </c>
      <c r="E63" s="41" t="s">
        <v>39</v>
      </c>
      <c r="F63" s="42">
        <f t="shared" si="15"/>
        <v>1152.5759999999998</v>
      </c>
      <c r="G63" s="43">
        <v>25</v>
      </c>
      <c r="H63" s="44">
        <f t="shared" si="16"/>
        <v>96.047999999999988</v>
      </c>
      <c r="I63" s="43">
        <v>25</v>
      </c>
      <c r="J63" s="44">
        <f t="shared" si="17"/>
        <v>96.047999999999988</v>
      </c>
      <c r="K63" s="43">
        <v>25</v>
      </c>
      <c r="L63" s="44">
        <f t="shared" si="18"/>
        <v>96.047999999999988</v>
      </c>
      <c r="M63" s="43">
        <v>25</v>
      </c>
      <c r="N63" s="44">
        <f t="shared" si="19"/>
        <v>96.047999999999988</v>
      </c>
      <c r="O63" s="43">
        <v>25</v>
      </c>
      <c r="P63" s="44">
        <f t="shared" si="20"/>
        <v>96.047999999999988</v>
      </c>
      <c r="Q63" s="43">
        <v>25</v>
      </c>
      <c r="R63" s="44">
        <f t="shared" si="21"/>
        <v>96.047999999999988</v>
      </c>
      <c r="S63" s="43">
        <v>25</v>
      </c>
      <c r="T63" s="44">
        <f t="shared" si="22"/>
        <v>96.047999999999988</v>
      </c>
      <c r="U63" s="43">
        <v>25</v>
      </c>
      <c r="V63" s="44">
        <f t="shared" si="23"/>
        <v>96.047999999999988</v>
      </c>
      <c r="W63" s="43">
        <v>25</v>
      </c>
      <c r="X63" s="44">
        <f t="shared" si="24"/>
        <v>96.047999999999988</v>
      </c>
      <c r="Y63" s="43">
        <v>25</v>
      </c>
      <c r="Z63" s="44">
        <f t="shared" si="25"/>
        <v>96.047999999999988</v>
      </c>
      <c r="AA63" s="43">
        <v>25</v>
      </c>
      <c r="AB63" s="44">
        <f t="shared" si="26"/>
        <v>96.047999999999988</v>
      </c>
      <c r="AC63" s="43">
        <v>25</v>
      </c>
      <c r="AD63" s="44">
        <f t="shared" si="27"/>
        <v>96.047999999999988</v>
      </c>
      <c r="AE63" s="50"/>
      <c r="AF63" s="29">
        <f>2.76*1.2</f>
        <v>3.3119999999999998</v>
      </c>
    </row>
    <row r="64" spans="1:32" ht="13.5" customHeight="1" x14ac:dyDescent="0.2">
      <c r="A64" s="37"/>
      <c r="B64" s="38"/>
      <c r="C64" s="39" t="s">
        <v>96</v>
      </c>
      <c r="D64" s="45">
        <f t="shared" si="14"/>
        <v>450</v>
      </c>
      <c r="E64" s="41" t="s">
        <v>39</v>
      </c>
      <c r="F64" s="42">
        <f t="shared" si="15"/>
        <v>3476.5199999999995</v>
      </c>
      <c r="G64" s="43">
        <v>37</v>
      </c>
      <c r="H64" s="44">
        <f t="shared" si="16"/>
        <v>285.84719999999993</v>
      </c>
      <c r="I64" s="43">
        <v>40</v>
      </c>
      <c r="J64" s="44">
        <f t="shared" si="17"/>
        <v>309.02399999999994</v>
      </c>
      <c r="K64" s="43">
        <v>37</v>
      </c>
      <c r="L64" s="44">
        <f t="shared" si="18"/>
        <v>285.84719999999993</v>
      </c>
      <c r="M64" s="43">
        <v>37</v>
      </c>
      <c r="N64" s="44">
        <f t="shared" si="19"/>
        <v>285.84719999999993</v>
      </c>
      <c r="O64" s="43">
        <v>37</v>
      </c>
      <c r="P64" s="44">
        <f t="shared" si="20"/>
        <v>285.84719999999993</v>
      </c>
      <c r="Q64" s="43">
        <v>37</v>
      </c>
      <c r="R64" s="44">
        <f t="shared" si="21"/>
        <v>285.84719999999993</v>
      </c>
      <c r="S64" s="43">
        <v>37</v>
      </c>
      <c r="T64" s="44">
        <f t="shared" si="22"/>
        <v>285.84719999999993</v>
      </c>
      <c r="U64" s="43">
        <v>40</v>
      </c>
      <c r="V64" s="44">
        <f t="shared" si="23"/>
        <v>309.02399999999994</v>
      </c>
      <c r="W64" s="43">
        <v>37</v>
      </c>
      <c r="X64" s="44">
        <f t="shared" si="24"/>
        <v>285.84719999999993</v>
      </c>
      <c r="Y64" s="43">
        <v>37</v>
      </c>
      <c r="Z64" s="44">
        <f t="shared" si="25"/>
        <v>285.84719999999993</v>
      </c>
      <c r="AA64" s="43">
        <v>37</v>
      </c>
      <c r="AB64" s="44">
        <f t="shared" si="26"/>
        <v>285.84719999999993</v>
      </c>
      <c r="AC64" s="43">
        <v>37</v>
      </c>
      <c r="AD64" s="44">
        <f t="shared" si="27"/>
        <v>285.84719999999993</v>
      </c>
      <c r="AE64" s="50"/>
      <c r="AF64" s="29">
        <f>5.55*1.2</f>
        <v>6.6599999999999993</v>
      </c>
    </row>
    <row r="65" spans="1:32" ht="13.5" customHeight="1" x14ac:dyDescent="0.2">
      <c r="A65" s="37"/>
      <c r="B65" s="38"/>
      <c r="C65" s="39" t="s">
        <v>97</v>
      </c>
      <c r="D65" s="45">
        <f t="shared" si="14"/>
        <v>60</v>
      </c>
      <c r="E65" s="41" t="s">
        <v>39</v>
      </c>
      <c r="F65" s="42">
        <f t="shared" si="15"/>
        <v>689.87519999999984</v>
      </c>
      <c r="G65" s="43">
        <v>5</v>
      </c>
      <c r="H65" s="44">
        <f t="shared" si="16"/>
        <v>57.489599999999989</v>
      </c>
      <c r="I65" s="43">
        <v>5</v>
      </c>
      <c r="J65" s="44">
        <f t="shared" si="17"/>
        <v>57.489599999999989</v>
      </c>
      <c r="K65" s="43">
        <v>5</v>
      </c>
      <c r="L65" s="44">
        <f t="shared" si="18"/>
        <v>57.489599999999989</v>
      </c>
      <c r="M65" s="43">
        <v>5</v>
      </c>
      <c r="N65" s="44">
        <f t="shared" si="19"/>
        <v>57.489599999999989</v>
      </c>
      <c r="O65" s="43">
        <v>5</v>
      </c>
      <c r="P65" s="44">
        <f t="shared" si="20"/>
        <v>57.489599999999989</v>
      </c>
      <c r="Q65" s="43">
        <v>5</v>
      </c>
      <c r="R65" s="44">
        <f t="shared" si="21"/>
        <v>57.489599999999989</v>
      </c>
      <c r="S65" s="43">
        <v>5</v>
      </c>
      <c r="T65" s="44">
        <f t="shared" si="22"/>
        <v>57.489599999999989</v>
      </c>
      <c r="U65" s="43">
        <v>5</v>
      </c>
      <c r="V65" s="44">
        <f t="shared" si="23"/>
        <v>57.489599999999989</v>
      </c>
      <c r="W65" s="43">
        <v>5</v>
      </c>
      <c r="X65" s="44">
        <f t="shared" si="24"/>
        <v>57.489599999999989</v>
      </c>
      <c r="Y65" s="43">
        <v>5</v>
      </c>
      <c r="Z65" s="44">
        <f t="shared" si="25"/>
        <v>57.489599999999989</v>
      </c>
      <c r="AA65" s="43">
        <v>5</v>
      </c>
      <c r="AB65" s="44">
        <f t="shared" si="26"/>
        <v>57.489599999999989</v>
      </c>
      <c r="AC65" s="43">
        <v>5</v>
      </c>
      <c r="AD65" s="44">
        <f t="shared" si="27"/>
        <v>57.489599999999989</v>
      </c>
      <c r="AE65" s="50"/>
      <c r="AF65" s="29">
        <f>8.26*1.2</f>
        <v>9.911999999999999</v>
      </c>
    </row>
    <row r="66" spans="1:32" ht="13.5" customHeight="1" x14ac:dyDescent="0.2">
      <c r="A66" s="37"/>
      <c r="B66" s="38"/>
      <c r="C66" s="39" t="s">
        <v>98</v>
      </c>
      <c r="D66" s="45">
        <f t="shared" si="14"/>
        <v>200</v>
      </c>
      <c r="E66" s="41" t="s">
        <v>39</v>
      </c>
      <c r="F66" s="42">
        <f t="shared" si="15"/>
        <v>554.01599999999996</v>
      </c>
      <c r="G66" s="43">
        <v>15</v>
      </c>
      <c r="H66" s="44">
        <f t="shared" si="16"/>
        <v>41.551199999999994</v>
      </c>
      <c r="I66" s="43">
        <v>20</v>
      </c>
      <c r="J66" s="44">
        <f t="shared" si="17"/>
        <v>55.401599999999995</v>
      </c>
      <c r="K66" s="43">
        <v>15</v>
      </c>
      <c r="L66" s="44">
        <f t="shared" si="18"/>
        <v>41.551199999999994</v>
      </c>
      <c r="M66" s="43">
        <v>15</v>
      </c>
      <c r="N66" s="44">
        <f t="shared" si="19"/>
        <v>41.551199999999994</v>
      </c>
      <c r="O66" s="43">
        <v>20</v>
      </c>
      <c r="P66" s="44">
        <f t="shared" si="20"/>
        <v>55.401599999999995</v>
      </c>
      <c r="Q66" s="43">
        <v>20</v>
      </c>
      <c r="R66" s="44">
        <f t="shared" si="21"/>
        <v>55.401599999999995</v>
      </c>
      <c r="S66" s="43">
        <v>15</v>
      </c>
      <c r="T66" s="44">
        <f t="shared" si="22"/>
        <v>41.551199999999994</v>
      </c>
      <c r="U66" s="43">
        <v>15</v>
      </c>
      <c r="V66" s="44">
        <f t="shared" si="23"/>
        <v>41.551199999999994</v>
      </c>
      <c r="W66" s="43">
        <v>20</v>
      </c>
      <c r="X66" s="44">
        <f t="shared" si="24"/>
        <v>55.401599999999995</v>
      </c>
      <c r="Y66" s="43">
        <v>15</v>
      </c>
      <c r="Z66" s="44">
        <f t="shared" si="25"/>
        <v>41.551199999999994</v>
      </c>
      <c r="AA66" s="43">
        <v>15</v>
      </c>
      <c r="AB66" s="44">
        <f t="shared" si="26"/>
        <v>41.551199999999994</v>
      </c>
      <c r="AC66" s="43">
        <v>15</v>
      </c>
      <c r="AD66" s="44">
        <f t="shared" si="27"/>
        <v>41.551199999999994</v>
      </c>
      <c r="AE66" s="50"/>
      <c r="AF66" s="29">
        <f>1.99*1.2</f>
        <v>2.3879999999999999</v>
      </c>
    </row>
    <row r="67" spans="1:32" ht="13.5" customHeight="1" x14ac:dyDescent="0.2">
      <c r="A67" s="37"/>
      <c r="B67" s="38"/>
      <c r="C67" s="39" t="s">
        <v>99</v>
      </c>
      <c r="D67" s="45">
        <f t="shared" si="14"/>
        <v>11</v>
      </c>
      <c r="E67" s="41"/>
      <c r="F67" s="42">
        <f t="shared" si="15"/>
        <v>352.63535999999988</v>
      </c>
      <c r="G67" s="43"/>
      <c r="H67" s="44">
        <f t="shared" si="16"/>
        <v>0</v>
      </c>
      <c r="I67" s="43">
        <v>1</v>
      </c>
      <c r="J67" s="44">
        <f t="shared" si="17"/>
        <v>32.057759999999995</v>
      </c>
      <c r="K67" s="43">
        <v>1</v>
      </c>
      <c r="L67" s="44">
        <f t="shared" si="18"/>
        <v>32.057759999999995</v>
      </c>
      <c r="M67" s="43">
        <v>1</v>
      </c>
      <c r="N67" s="44">
        <f t="shared" si="19"/>
        <v>32.057759999999995</v>
      </c>
      <c r="O67" s="43">
        <v>1</v>
      </c>
      <c r="P67" s="44">
        <f t="shared" si="20"/>
        <v>32.057759999999995</v>
      </c>
      <c r="Q67" s="43">
        <v>1</v>
      </c>
      <c r="R67" s="44">
        <f t="shared" si="21"/>
        <v>32.057759999999995</v>
      </c>
      <c r="S67" s="43">
        <v>1</v>
      </c>
      <c r="T67" s="44">
        <f t="shared" si="22"/>
        <v>32.057759999999995</v>
      </c>
      <c r="U67" s="43">
        <v>1</v>
      </c>
      <c r="V67" s="44">
        <f t="shared" si="23"/>
        <v>32.057759999999995</v>
      </c>
      <c r="W67" s="43">
        <v>1</v>
      </c>
      <c r="X67" s="44">
        <f t="shared" si="24"/>
        <v>32.057759999999995</v>
      </c>
      <c r="Y67" s="43">
        <v>1</v>
      </c>
      <c r="Z67" s="44">
        <f t="shared" si="25"/>
        <v>32.057759999999995</v>
      </c>
      <c r="AA67" s="43">
        <v>1</v>
      </c>
      <c r="AB67" s="44">
        <f t="shared" si="26"/>
        <v>32.057759999999995</v>
      </c>
      <c r="AC67" s="43">
        <v>1</v>
      </c>
      <c r="AD67" s="44">
        <f t="shared" si="27"/>
        <v>32.057759999999995</v>
      </c>
      <c r="AE67" s="50"/>
      <c r="AF67" s="29">
        <f>23.03*1.2</f>
        <v>27.635999999999999</v>
      </c>
    </row>
    <row r="68" spans="1:32" ht="13.5" customHeight="1" x14ac:dyDescent="0.2">
      <c r="A68" s="37"/>
      <c r="B68" s="38"/>
      <c r="C68" s="39" t="s">
        <v>100</v>
      </c>
      <c r="D68" s="45">
        <f t="shared" si="14"/>
        <v>60</v>
      </c>
      <c r="E68" s="41" t="s">
        <v>39</v>
      </c>
      <c r="F68" s="42">
        <f t="shared" si="15"/>
        <v>3207.1680000000001</v>
      </c>
      <c r="G68" s="43">
        <v>5</v>
      </c>
      <c r="H68" s="44">
        <f t="shared" si="16"/>
        <v>267.26399999999995</v>
      </c>
      <c r="I68" s="43">
        <v>5</v>
      </c>
      <c r="J68" s="44">
        <f t="shared" si="17"/>
        <v>267.26399999999995</v>
      </c>
      <c r="K68" s="43">
        <v>5</v>
      </c>
      <c r="L68" s="44">
        <f t="shared" si="18"/>
        <v>267.26399999999995</v>
      </c>
      <c r="M68" s="43">
        <v>5</v>
      </c>
      <c r="N68" s="44">
        <f t="shared" si="19"/>
        <v>267.26399999999995</v>
      </c>
      <c r="O68" s="43">
        <v>5</v>
      </c>
      <c r="P68" s="44">
        <f t="shared" si="20"/>
        <v>267.26399999999995</v>
      </c>
      <c r="Q68" s="43">
        <v>5</v>
      </c>
      <c r="R68" s="44">
        <f t="shared" si="21"/>
        <v>267.26399999999995</v>
      </c>
      <c r="S68" s="43">
        <v>5</v>
      </c>
      <c r="T68" s="44">
        <f t="shared" si="22"/>
        <v>267.26399999999995</v>
      </c>
      <c r="U68" s="43">
        <v>5</v>
      </c>
      <c r="V68" s="44">
        <f t="shared" si="23"/>
        <v>267.26399999999995</v>
      </c>
      <c r="W68" s="43">
        <v>5</v>
      </c>
      <c r="X68" s="44">
        <f t="shared" si="24"/>
        <v>267.26399999999995</v>
      </c>
      <c r="Y68" s="43">
        <v>5</v>
      </c>
      <c r="Z68" s="44">
        <f t="shared" si="25"/>
        <v>267.26399999999995</v>
      </c>
      <c r="AA68" s="43">
        <v>5</v>
      </c>
      <c r="AB68" s="44">
        <f t="shared" si="26"/>
        <v>267.26399999999995</v>
      </c>
      <c r="AC68" s="43">
        <v>5</v>
      </c>
      <c r="AD68" s="44">
        <f t="shared" si="27"/>
        <v>267.26399999999995</v>
      </c>
      <c r="AE68" s="50"/>
      <c r="AF68" s="29">
        <f>38.4*1.2</f>
        <v>46.08</v>
      </c>
    </row>
    <row r="69" spans="1:32" ht="13.5" customHeight="1" x14ac:dyDescent="0.2">
      <c r="A69" s="37"/>
      <c r="B69" s="38"/>
      <c r="C69" s="49" t="s">
        <v>101</v>
      </c>
      <c r="D69" s="45">
        <f t="shared" si="14"/>
        <v>50</v>
      </c>
      <c r="E69" s="41" t="s">
        <v>39</v>
      </c>
      <c r="F69" s="42">
        <f t="shared" si="15"/>
        <v>6012.7439999999988</v>
      </c>
      <c r="G69" s="43">
        <v>4</v>
      </c>
      <c r="H69" s="44">
        <f t="shared" si="16"/>
        <v>481.01951999999994</v>
      </c>
      <c r="I69" s="43">
        <v>5</v>
      </c>
      <c r="J69" s="44">
        <f t="shared" si="17"/>
        <v>601.2743999999999</v>
      </c>
      <c r="K69" s="43">
        <v>4</v>
      </c>
      <c r="L69" s="44">
        <f t="shared" si="18"/>
        <v>481.01951999999994</v>
      </c>
      <c r="M69" s="43">
        <v>4</v>
      </c>
      <c r="N69" s="44">
        <f t="shared" si="19"/>
        <v>481.01951999999994</v>
      </c>
      <c r="O69" s="43">
        <v>5</v>
      </c>
      <c r="P69" s="44">
        <f t="shared" si="20"/>
        <v>601.2743999999999</v>
      </c>
      <c r="Q69" s="43">
        <v>4</v>
      </c>
      <c r="R69" s="44">
        <f t="shared" si="21"/>
        <v>481.01951999999994</v>
      </c>
      <c r="S69" s="43">
        <v>4</v>
      </c>
      <c r="T69" s="44">
        <f t="shared" si="22"/>
        <v>481.01951999999994</v>
      </c>
      <c r="U69" s="43">
        <v>4</v>
      </c>
      <c r="V69" s="44">
        <f t="shared" si="23"/>
        <v>481.01951999999994</v>
      </c>
      <c r="W69" s="43">
        <v>4</v>
      </c>
      <c r="X69" s="44">
        <f t="shared" si="24"/>
        <v>481.01951999999994</v>
      </c>
      <c r="Y69" s="43">
        <v>4</v>
      </c>
      <c r="Z69" s="44">
        <f t="shared" si="25"/>
        <v>481.01951999999994</v>
      </c>
      <c r="AA69" s="43">
        <v>4</v>
      </c>
      <c r="AB69" s="44">
        <f t="shared" si="26"/>
        <v>481.01951999999994</v>
      </c>
      <c r="AC69" s="43">
        <v>4</v>
      </c>
      <c r="AD69" s="44">
        <f t="shared" si="27"/>
        <v>481.01951999999994</v>
      </c>
      <c r="AE69" s="50"/>
      <c r="AF69" s="29">
        <f>86.39*1.2</f>
        <v>103.66799999999999</v>
      </c>
    </row>
    <row r="70" spans="1:32" ht="13.5" customHeight="1" x14ac:dyDescent="0.2">
      <c r="A70" s="37"/>
      <c r="B70" s="38"/>
      <c r="C70" s="49" t="s">
        <v>102</v>
      </c>
      <c r="D70" s="45">
        <f t="shared" si="14"/>
        <v>50</v>
      </c>
      <c r="E70" s="41" t="s">
        <v>39</v>
      </c>
      <c r="F70" s="42">
        <f t="shared" si="15"/>
        <v>6012.7439999999988</v>
      </c>
      <c r="G70" s="43">
        <v>4</v>
      </c>
      <c r="H70" s="44">
        <f t="shared" si="16"/>
        <v>481.01951999999994</v>
      </c>
      <c r="I70" s="43">
        <v>5</v>
      </c>
      <c r="J70" s="44">
        <f t="shared" si="17"/>
        <v>601.2743999999999</v>
      </c>
      <c r="K70" s="43">
        <v>4</v>
      </c>
      <c r="L70" s="44">
        <f t="shared" si="18"/>
        <v>481.01951999999994</v>
      </c>
      <c r="M70" s="43">
        <v>4</v>
      </c>
      <c r="N70" s="44">
        <f t="shared" si="19"/>
        <v>481.01951999999994</v>
      </c>
      <c r="O70" s="43">
        <v>5</v>
      </c>
      <c r="P70" s="44">
        <f t="shared" si="20"/>
        <v>601.2743999999999</v>
      </c>
      <c r="Q70" s="43">
        <v>4</v>
      </c>
      <c r="R70" s="44">
        <f t="shared" si="21"/>
        <v>481.01951999999994</v>
      </c>
      <c r="S70" s="43">
        <v>4</v>
      </c>
      <c r="T70" s="44">
        <f t="shared" si="22"/>
        <v>481.01951999999994</v>
      </c>
      <c r="U70" s="43">
        <v>4</v>
      </c>
      <c r="V70" s="44">
        <f t="shared" si="23"/>
        <v>481.01951999999994</v>
      </c>
      <c r="W70" s="43">
        <v>4</v>
      </c>
      <c r="X70" s="44">
        <f t="shared" si="24"/>
        <v>481.01951999999994</v>
      </c>
      <c r="Y70" s="43">
        <v>4</v>
      </c>
      <c r="Z70" s="44">
        <f t="shared" si="25"/>
        <v>481.01951999999994</v>
      </c>
      <c r="AA70" s="43">
        <v>4</v>
      </c>
      <c r="AB70" s="44">
        <f t="shared" si="26"/>
        <v>481.01951999999994</v>
      </c>
      <c r="AC70" s="43">
        <v>4</v>
      </c>
      <c r="AD70" s="44">
        <f t="shared" si="27"/>
        <v>481.01951999999994</v>
      </c>
      <c r="AE70" s="50"/>
      <c r="AF70" s="29">
        <f>86.39*1.2</f>
        <v>103.66799999999999</v>
      </c>
    </row>
    <row r="71" spans="1:32" ht="13.5" customHeight="1" x14ac:dyDescent="0.2">
      <c r="A71" s="37"/>
      <c r="B71" s="38"/>
      <c r="C71" s="49" t="s">
        <v>103</v>
      </c>
      <c r="D71" s="45">
        <f t="shared" si="14"/>
        <v>25</v>
      </c>
      <c r="E71" s="41" t="s">
        <v>39</v>
      </c>
      <c r="F71" s="42">
        <f t="shared" si="15"/>
        <v>3006.3719999999994</v>
      </c>
      <c r="G71" s="43">
        <v>2</v>
      </c>
      <c r="H71" s="44">
        <f t="shared" si="16"/>
        <v>240.50975999999997</v>
      </c>
      <c r="I71" s="43">
        <v>3</v>
      </c>
      <c r="J71" s="44">
        <f t="shared" si="17"/>
        <v>360.76463999999993</v>
      </c>
      <c r="K71" s="43">
        <v>2</v>
      </c>
      <c r="L71" s="44">
        <f t="shared" si="18"/>
        <v>240.50975999999997</v>
      </c>
      <c r="M71" s="43">
        <v>2</v>
      </c>
      <c r="N71" s="44">
        <f t="shared" si="19"/>
        <v>240.50975999999997</v>
      </c>
      <c r="O71" s="43">
        <v>2</v>
      </c>
      <c r="P71" s="44">
        <f t="shared" si="20"/>
        <v>240.50975999999997</v>
      </c>
      <c r="Q71" s="43">
        <v>2</v>
      </c>
      <c r="R71" s="44">
        <f t="shared" si="21"/>
        <v>240.50975999999997</v>
      </c>
      <c r="S71" s="43">
        <v>2</v>
      </c>
      <c r="T71" s="44">
        <f t="shared" si="22"/>
        <v>240.50975999999997</v>
      </c>
      <c r="U71" s="43">
        <v>2</v>
      </c>
      <c r="V71" s="44">
        <f t="shared" si="23"/>
        <v>240.50975999999997</v>
      </c>
      <c r="W71" s="43">
        <v>2</v>
      </c>
      <c r="X71" s="44">
        <f t="shared" si="24"/>
        <v>240.50975999999997</v>
      </c>
      <c r="Y71" s="43">
        <v>2</v>
      </c>
      <c r="Z71" s="44">
        <f t="shared" si="25"/>
        <v>240.50975999999997</v>
      </c>
      <c r="AA71" s="43">
        <v>2</v>
      </c>
      <c r="AB71" s="44">
        <f t="shared" si="26"/>
        <v>240.50975999999997</v>
      </c>
      <c r="AC71" s="43">
        <v>2</v>
      </c>
      <c r="AD71" s="44">
        <f t="shared" si="27"/>
        <v>240.50975999999997</v>
      </c>
      <c r="AE71" s="50"/>
      <c r="AF71" s="29">
        <f>86.39*1.2</f>
        <v>103.66799999999999</v>
      </c>
    </row>
    <row r="72" spans="1:32" ht="13.5" customHeight="1" x14ac:dyDescent="0.2">
      <c r="A72" s="37"/>
      <c r="B72" s="35"/>
      <c r="C72" s="51" t="s">
        <v>104</v>
      </c>
      <c r="D72" s="52">
        <f t="shared" si="14"/>
        <v>5</v>
      </c>
      <c r="E72" s="41" t="s">
        <v>39</v>
      </c>
      <c r="F72" s="42">
        <f>SUM(H72,J72,L72,N72,P72,R72,T72,V72,X72,Z72,AB72,AD72)</f>
        <v>394.4</v>
      </c>
      <c r="G72" s="53">
        <v>5</v>
      </c>
      <c r="H72" s="46">
        <f t="shared" si="16"/>
        <v>394.4</v>
      </c>
      <c r="I72" s="53">
        <v>0</v>
      </c>
      <c r="J72" s="46">
        <f t="shared" si="17"/>
        <v>0</v>
      </c>
      <c r="K72" s="53">
        <v>0</v>
      </c>
      <c r="L72" s="46">
        <f t="shared" si="18"/>
        <v>0</v>
      </c>
      <c r="M72" s="53">
        <v>0</v>
      </c>
      <c r="N72" s="46">
        <f t="shared" si="19"/>
        <v>0</v>
      </c>
      <c r="O72" s="53">
        <v>0</v>
      </c>
      <c r="P72" s="46">
        <f t="shared" si="20"/>
        <v>0</v>
      </c>
      <c r="Q72" s="53">
        <v>0</v>
      </c>
      <c r="R72" s="46">
        <f t="shared" si="21"/>
        <v>0</v>
      </c>
      <c r="S72" s="53">
        <v>0</v>
      </c>
      <c r="T72" s="46">
        <f t="shared" si="22"/>
        <v>0</v>
      </c>
      <c r="U72" s="53">
        <v>0</v>
      </c>
      <c r="V72" s="46">
        <f t="shared" si="23"/>
        <v>0</v>
      </c>
      <c r="W72" s="53">
        <v>0</v>
      </c>
      <c r="X72" s="46">
        <f t="shared" si="24"/>
        <v>0</v>
      </c>
      <c r="Y72" s="53">
        <v>0</v>
      </c>
      <c r="Z72" s="46">
        <f t="shared" si="25"/>
        <v>0</v>
      </c>
      <c r="AA72" s="53">
        <v>0</v>
      </c>
      <c r="AB72" s="46">
        <f t="shared" si="26"/>
        <v>0</v>
      </c>
      <c r="AC72" s="53">
        <v>0</v>
      </c>
      <c r="AD72" s="46">
        <f t="shared" si="27"/>
        <v>0</v>
      </c>
      <c r="AE72" s="29"/>
      <c r="AF72">
        <v>68</v>
      </c>
    </row>
    <row r="73" spans="1:32" ht="12" customHeight="1" x14ac:dyDescent="0.2">
      <c r="A73" s="24"/>
      <c r="B73" s="35">
        <v>212</v>
      </c>
      <c r="C73" s="31" t="s">
        <v>105</v>
      </c>
      <c r="D73" s="52"/>
      <c r="E73" s="30"/>
      <c r="F73" s="54">
        <f>SUM(F74)</f>
        <v>620</v>
      </c>
      <c r="G73" s="55"/>
      <c r="H73" s="54">
        <f>SUM(H74)</f>
        <v>0</v>
      </c>
      <c r="I73" s="36"/>
      <c r="J73" s="54">
        <f>SUM(J74)</f>
        <v>0</v>
      </c>
      <c r="K73" s="56"/>
      <c r="L73" s="54">
        <f>SUM(L74)</f>
        <v>0</v>
      </c>
      <c r="M73" s="56"/>
      <c r="N73" s="54">
        <f>SUM(N74)</f>
        <v>0</v>
      </c>
      <c r="O73" s="55"/>
      <c r="P73" s="54">
        <f>SUM(P74)</f>
        <v>310</v>
      </c>
      <c r="Q73" s="55"/>
      <c r="R73" s="54">
        <f>SUM(R74)</f>
        <v>0</v>
      </c>
      <c r="S73" s="55"/>
      <c r="T73" s="54">
        <f>SUM(T74)</f>
        <v>0</v>
      </c>
      <c r="U73" s="55"/>
      <c r="V73" s="54">
        <f>SUM(V74)</f>
        <v>0</v>
      </c>
      <c r="W73" s="55"/>
      <c r="X73" s="54">
        <f>SUM(X74)</f>
        <v>0</v>
      </c>
      <c r="Y73" s="55"/>
      <c r="Z73" s="54">
        <f>SUM(Z74)</f>
        <v>0</v>
      </c>
      <c r="AA73" s="55"/>
      <c r="AB73" s="54">
        <f>SUM(AB74)</f>
        <v>310</v>
      </c>
      <c r="AC73" s="57"/>
      <c r="AD73" s="54">
        <f>SUM(AD74)</f>
        <v>0</v>
      </c>
      <c r="AE73" s="58"/>
      <c r="AF73" s="29"/>
    </row>
    <row r="74" spans="1:32" ht="12" customHeight="1" x14ac:dyDescent="0.2">
      <c r="A74" s="24"/>
      <c r="B74" s="35"/>
      <c r="C74" s="51" t="s">
        <v>106</v>
      </c>
      <c r="D74" s="52">
        <f>G74+I74+K74+M74+O74+Q74+S74+U74+W74+Y74+AA74+AC74</f>
        <v>2</v>
      </c>
      <c r="E74" s="41" t="s">
        <v>39</v>
      </c>
      <c r="F74" s="42">
        <f>SUM(H74,J74,L74,N74,P74,R74,T74,V74,X74,Z74,AB74,AD74)</f>
        <v>620</v>
      </c>
      <c r="G74" s="53">
        <v>0</v>
      </c>
      <c r="H74" s="46">
        <v>0</v>
      </c>
      <c r="I74" s="53">
        <v>0</v>
      </c>
      <c r="J74" s="46">
        <v>0</v>
      </c>
      <c r="K74" s="53">
        <v>0</v>
      </c>
      <c r="L74" s="46">
        <v>0</v>
      </c>
      <c r="M74" s="53">
        <v>0</v>
      </c>
      <c r="N74" s="46">
        <v>0</v>
      </c>
      <c r="O74" s="53">
        <v>1</v>
      </c>
      <c r="P74" s="46">
        <v>310</v>
      </c>
      <c r="Q74" s="53">
        <v>0</v>
      </c>
      <c r="R74" s="46">
        <v>0</v>
      </c>
      <c r="S74" s="53">
        <v>0</v>
      </c>
      <c r="T74" s="46">
        <v>0</v>
      </c>
      <c r="U74" s="53">
        <v>0</v>
      </c>
      <c r="V74" s="46">
        <v>0</v>
      </c>
      <c r="W74" s="53">
        <v>0</v>
      </c>
      <c r="X74" s="46">
        <v>0</v>
      </c>
      <c r="Y74" s="53">
        <v>0</v>
      </c>
      <c r="Z74" s="46">
        <v>0</v>
      </c>
      <c r="AA74" s="53">
        <v>1</v>
      </c>
      <c r="AB74" s="46">
        <v>310</v>
      </c>
      <c r="AC74" s="57">
        <v>0</v>
      </c>
      <c r="AD74" s="44">
        <v>0</v>
      </c>
      <c r="AE74" s="58"/>
      <c r="AF74" s="29"/>
    </row>
    <row r="75" spans="1:32" ht="15" customHeight="1" x14ac:dyDescent="0.2">
      <c r="A75" s="24"/>
      <c r="B75" s="35">
        <v>213</v>
      </c>
      <c r="C75" s="31" t="s">
        <v>107</v>
      </c>
      <c r="D75" s="52"/>
      <c r="E75" s="30"/>
      <c r="F75" s="54">
        <f>SUM(F76)</f>
        <v>112.5</v>
      </c>
      <c r="G75" s="55"/>
      <c r="H75" s="54">
        <f>SUM(H76)</f>
        <v>0</v>
      </c>
      <c r="I75" s="36"/>
      <c r="J75" s="54">
        <f>SUM(J76)</f>
        <v>0</v>
      </c>
      <c r="K75" s="56"/>
      <c r="L75" s="54">
        <f>SUM(L76)</f>
        <v>0</v>
      </c>
      <c r="M75" s="56"/>
      <c r="N75" s="54">
        <f>SUM(N76)</f>
        <v>0</v>
      </c>
      <c r="O75" s="55"/>
      <c r="P75" s="54">
        <f>SUM(P76)</f>
        <v>0</v>
      </c>
      <c r="Q75" s="55"/>
      <c r="R75" s="54">
        <f>SUM(R76)</f>
        <v>112.5</v>
      </c>
      <c r="S75" s="55"/>
      <c r="T75" s="54">
        <f>SUM(T76)</f>
        <v>0</v>
      </c>
      <c r="U75" s="55"/>
      <c r="V75" s="54">
        <f>SUM(V76)</f>
        <v>0</v>
      </c>
      <c r="W75" s="55"/>
      <c r="X75" s="54">
        <f>SUM(X76)</f>
        <v>0</v>
      </c>
      <c r="Y75" s="55"/>
      <c r="Z75" s="54">
        <f>SUM(Z76)</f>
        <v>0</v>
      </c>
      <c r="AA75" s="55"/>
      <c r="AB75" s="54">
        <f>SUM(AB76)</f>
        <v>0</v>
      </c>
      <c r="AC75" s="55"/>
      <c r="AD75" s="54">
        <f>SUM(AD76)</f>
        <v>0</v>
      </c>
      <c r="AE75" s="29"/>
    </row>
    <row r="76" spans="1:32" ht="12.75" customHeight="1" x14ac:dyDescent="0.2">
      <c r="A76" s="24"/>
      <c r="B76" s="35"/>
      <c r="C76" s="51" t="s">
        <v>108</v>
      </c>
      <c r="D76" s="52">
        <f>G76+I76+K76+M76+O76+Q76+S76+U76+W76+Y76+AA76+AC76</f>
        <v>1</v>
      </c>
      <c r="E76" s="41" t="s">
        <v>39</v>
      </c>
      <c r="F76" s="42">
        <f>SUM(H76,J76,L76,N76,P76,R76,T76,V76,X76,Z76,AB76,AD76)</f>
        <v>112.5</v>
      </c>
      <c r="G76" s="53">
        <v>0</v>
      </c>
      <c r="H76" s="46">
        <v>0</v>
      </c>
      <c r="I76" s="53">
        <v>0</v>
      </c>
      <c r="J76" s="46">
        <v>0</v>
      </c>
      <c r="K76" s="53">
        <v>0</v>
      </c>
      <c r="L76" s="46">
        <v>0</v>
      </c>
      <c r="M76" s="53">
        <v>0</v>
      </c>
      <c r="N76" s="46">
        <v>0</v>
      </c>
      <c r="O76" s="53">
        <v>0</v>
      </c>
      <c r="P76" s="46">
        <v>0</v>
      </c>
      <c r="Q76" s="53">
        <v>1</v>
      </c>
      <c r="R76" s="46">
        <v>112.5</v>
      </c>
      <c r="S76" s="53">
        <v>0</v>
      </c>
      <c r="T76" s="46">
        <v>0</v>
      </c>
      <c r="U76" s="53">
        <v>0</v>
      </c>
      <c r="V76" s="46">
        <v>0</v>
      </c>
      <c r="W76" s="53">
        <v>0</v>
      </c>
      <c r="X76" s="46">
        <v>0</v>
      </c>
      <c r="Y76" s="53">
        <v>0</v>
      </c>
      <c r="Z76" s="46">
        <v>0</v>
      </c>
      <c r="AA76" s="53">
        <v>0</v>
      </c>
      <c r="AB76" s="46">
        <v>0</v>
      </c>
      <c r="AC76" s="53">
        <v>0</v>
      </c>
      <c r="AD76" s="46">
        <v>0</v>
      </c>
      <c r="AE76" s="29"/>
    </row>
    <row r="77" spans="1:32" ht="35.25" customHeight="1" x14ac:dyDescent="0.2">
      <c r="A77" s="24"/>
      <c r="B77" s="35">
        <v>214</v>
      </c>
      <c r="C77" s="31" t="s">
        <v>109</v>
      </c>
      <c r="D77" s="52"/>
      <c r="E77" s="59"/>
      <c r="F77" s="54">
        <f>SUM(F78:F89)</f>
        <v>112460.22911999999</v>
      </c>
      <c r="G77" s="55"/>
      <c r="H77" s="54">
        <f>SUM(H78:H89)</f>
        <v>600</v>
      </c>
      <c r="I77" s="56"/>
      <c r="J77" s="54">
        <f>SUM(J78:J89)</f>
        <v>31995.384479999997</v>
      </c>
      <c r="K77" s="56"/>
      <c r="L77" s="54">
        <f>SUM(L78:L89)</f>
        <v>8278.6137600000002</v>
      </c>
      <c r="M77" s="56"/>
      <c r="N77" s="54">
        <f>SUM(N78:N89)</f>
        <v>4309.8686399999988</v>
      </c>
      <c r="O77" s="56"/>
      <c r="P77" s="54">
        <f>SUM(P78:P89)</f>
        <v>0</v>
      </c>
      <c r="Q77" s="56"/>
      <c r="R77" s="54">
        <f>SUM(R78:R89)</f>
        <v>21026.034719999996</v>
      </c>
      <c r="S77" s="56"/>
      <c r="T77" s="54">
        <f>SUM(T78:T89)</f>
        <v>6921.4137599999995</v>
      </c>
      <c r="U77" s="56"/>
      <c r="V77" s="54">
        <f>SUM(V78:V89)</f>
        <v>0</v>
      </c>
      <c r="W77" s="56"/>
      <c r="X77" s="54">
        <f>SUM(X78:X89)</f>
        <v>11824.037759999999</v>
      </c>
      <c r="Y77" s="56"/>
      <c r="Z77" s="54">
        <f>SUM(Z78:Z89)</f>
        <v>24265.455359999996</v>
      </c>
      <c r="AA77" s="56"/>
      <c r="AB77" s="54">
        <f>SUM(AB78:AB89)</f>
        <v>3239.4206399999994</v>
      </c>
      <c r="AC77" s="56"/>
      <c r="AD77" s="54">
        <f>SUM(AD78:AD89)</f>
        <v>0</v>
      </c>
      <c r="AE77" s="29"/>
    </row>
    <row r="78" spans="1:32" ht="23.25" customHeight="1" x14ac:dyDescent="0.2">
      <c r="A78" s="24"/>
      <c r="B78" s="35"/>
      <c r="C78" s="39" t="s">
        <v>110</v>
      </c>
      <c r="D78" s="45">
        <f t="shared" ref="D78:D89" si="28">G78+I78+K78+M78+O78+Q78+S78+U78+W78+Y78+AA78+AC78</f>
        <v>2</v>
      </c>
      <c r="E78" s="41" t="s">
        <v>63</v>
      </c>
      <c r="F78" s="42">
        <f t="shared" ref="F78:F85" si="29">H78+J78+L78+N78+P78+R78+T78+V78+X78+Z78+AB78+AD78</f>
        <v>748.89599999999996</v>
      </c>
      <c r="G78" s="53">
        <v>0</v>
      </c>
      <c r="H78" s="46">
        <f t="shared" ref="H78:H85" si="30">(G78*AF78)*1.16</f>
        <v>0</v>
      </c>
      <c r="I78" s="53">
        <v>1</v>
      </c>
      <c r="J78" s="46">
        <f t="shared" ref="J78:J89" si="31">(I78*AF78)*1.16</f>
        <v>374.44799999999998</v>
      </c>
      <c r="K78" s="53">
        <v>0</v>
      </c>
      <c r="L78" s="46">
        <f t="shared" ref="L78:L89" si="32">(K78*AF78)*1.16</f>
        <v>0</v>
      </c>
      <c r="M78" s="53">
        <v>1</v>
      </c>
      <c r="N78" s="46">
        <f t="shared" ref="N78:N89" si="33">(M78*AF78)*1.16</f>
        <v>374.44799999999998</v>
      </c>
      <c r="O78" s="53">
        <v>0</v>
      </c>
      <c r="P78" s="46">
        <f t="shared" ref="P78:P89" si="34">(O78*AF78)*1.16</f>
        <v>0</v>
      </c>
      <c r="Q78" s="53">
        <v>0</v>
      </c>
      <c r="R78" s="46">
        <f t="shared" ref="R78:R85" si="35">(Q78*AF78)*1.16</f>
        <v>0</v>
      </c>
      <c r="S78" s="53">
        <v>0</v>
      </c>
      <c r="T78" s="46">
        <f t="shared" ref="T78:T85" si="36">(S78*AF78)*1.16</f>
        <v>0</v>
      </c>
      <c r="U78" s="53">
        <v>0</v>
      </c>
      <c r="V78" s="46">
        <f t="shared" ref="V78:V85" si="37">(U78*AF766*1.16)</f>
        <v>0</v>
      </c>
      <c r="W78" s="53">
        <v>0</v>
      </c>
      <c r="X78" s="46">
        <f t="shared" ref="X78:X85" si="38">(W78*AF78*1.16)</f>
        <v>0</v>
      </c>
      <c r="Y78" s="53">
        <v>0</v>
      </c>
      <c r="Z78" s="46">
        <f t="shared" ref="Z78:Z85" si="39">(Y78*AF78)*1.16</f>
        <v>0</v>
      </c>
      <c r="AA78" s="53">
        <v>0</v>
      </c>
      <c r="AB78" s="46">
        <f t="shared" ref="AB78:AB85" si="40">(AA78*AF78)*1.16</f>
        <v>0</v>
      </c>
      <c r="AC78" s="53">
        <v>0</v>
      </c>
      <c r="AD78" s="46">
        <f t="shared" ref="AD78:AD85" si="41">(AC78*AF78)*1.16</f>
        <v>0</v>
      </c>
      <c r="AE78" s="29"/>
      <c r="AF78">
        <f>269*1.2</f>
        <v>322.8</v>
      </c>
    </row>
    <row r="79" spans="1:32" ht="23.25" customHeight="1" x14ac:dyDescent="0.2">
      <c r="A79" s="24"/>
      <c r="B79" s="35"/>
      <c r="C79" s="39" t="s">
        <v>111</v>
      </c>
      <c r="D79" s="45">
        <f t="shared" si="28"/>
        <v>1</v>
      </c>
      <c r="E79" s="41" t="s">
        <v>63</v>
      </c>
      <c r="F79" s="42">
        <f t="shared" si="29"/>
        <v>374.44799999999998</v>
      </c>
      <c r="G79" s="53">
        <v>0</v>
      </c>
      <c r="H79" s="46">
        <f t="shared" si="30"/>
        <v>0</v>
      </c>
      <c r="I79" s="53">
        <v>1</v>
      </c>
      <c r="J79" s="46">
        <f t="shared" si="31"/>
        <v>374.44799999999998</v>
      </c>
      <c r="K79" s="53">
        <v>0</v>
      </c>
      <c r="L79" s="46">
        <f t="shared" si="32"/>
        <v>0</v>
      </c>
      <c r="M79" s="53">
        <v>0</v>
      </c>
      <c r="N79" s="46">
        <f t="shared" si="33"/>
        <v>0</v>
      </c>
      <c r="O79" s="53">
        <v>0</v>
      </c>
      <c r="P79" s="46">
        <f t="shared" si="34"/>
        <v>0</v>
      </c>
      <c r="Q79" s="53">
        <v>0</v>
      </c>
      <c r="R79" s="46">
        <f t="shared" si="35"/>
        <v>0</v>
      </c>
      <c r="S79" s="53">
        <v>0</v>
      </c>
      <c r="T79" s="46">
        <f t="shared" si="36"/>
        <v>0</v>
      </c>
      <c r="U79" s="53">
        <v>0</v>
      </c>
      <c r="V79" s="46">
        <f t="shared" si="37"/>
        <v>0</v>
      </c>
      <c r="W79" s="53">
        <v>0</v>
      </c>
      <c r="X79" s="46">
        <f t="shared" si="38"/>
        <v>0</v>
      </c>
      <c r="Y79" s="53">
        <v>0</v>
      </c>
      <c r="Z79" s="46">
        <f t="shared" si="39"/>
        <v>0</v>
      </c>
      <c r="AA79" s="53">
        <v>0</v>
      </c>
      <c r="AB79" s="46">
        <f t="shared" si="40"/>
        <v>0</v>
      </c>
      <c r="AC79" s="53">
        <v>0</v>
      </c>
      <c r="AD79" s="46">
        <f t="shared" si="41"/>
        <v>0</v>
      </c>
      <c r="AE79" s="29"/>
      <c r="AF79">
        <f>269*1.2</f>
        <v>322.8</v>
      </c>
    </row>
    <row r="80" spans="1:32" ht="23.25" customHeight="1" x14ac:dyDescent="0.2">
      <c r="A80" s="24"/>
      <c r="B80" s="35"/>
      <c r="C80" s="39" t="s">
        <v>112</v>
      </c>
      <c r="D80" s="45">
        <f t="shared" si="28"/>
        <v>4</v>
      </c>
      <c r="E80" s="41" t="s">
        <v>39</v>
      </c>
      <c r="F80" s="42">
        <f t="shared" si="29"/>
        <v>14727.972479999999</v>
      </c>
      <c r="G80" s="53">
        <v>0</v>
      </c>
      <c r="H80" s="46">
        <f t="shared" si="30"/>
        <v>0</v>
      </c>
      <c r="I80" s="53">
        <v>1</v>
      </c>
      <c r="J80" s="46">
        <f t="shared" si="31"/>
        <v>3681.9931199999996</v>
      </c>
      <c r="K80" s="53">
        <v>1</v>
      </c>
      <c r="L80" s="46">
        <f t="shared" si="32"/>
        <v>3681.9931199999996</v>
      </c>
      <c r="M80" s="53">
        <v>0</v>
      </c>
      <c r="N80" s="46">
        <f t="shared" si="33"/>
        <v>0</v>
      </c>
      <c r="O80" s="53">
        <v>0</v>
      </c>
      <c r="P80" s="46">
        <f t="shared" si="34"/>
        <v>0</v>
      </c>
      <c r="Q80" s="53">
        <v>0</v>
      </c>
      <c r="R80" s="46">
        <f t="shared" si="35"/>
        <v>0</v>
      </c>
      <c r="S80" s="53">
        <v>1</v>
      </c>
      <c r="T80" s="46">
        <f t="shared" si="36"/>
        <v>3681.9931199999996</v>
      </c>
      <c r="U80" s="53">
        <v>0</v>
      </c>
      <c r="V80" s="46">
        <f t="shared" si="37"/>
        <v>0</v>
      </c>
      <c r="W80" s="53">
        <v>1</v>
      </c>
      <c r="X80" s="46">
        <f t="shared" si="38"/>
        <v>3681.9931199999996</v>
      </c>
      <c r="Y80" s="53">
        <v>0</v>
      </c>
      <c r="Z80" s="46">
        <f t="shared" si="39"/>
        <v>0</v>
      </c>
      <c r="AA80" s="53">
        <v>0</v>
      </c>
      <c r="AB80" s="46">
        <f t="shared" si="40"/>
        <v>0</v>
      </c>
      <c r="AC80" s="53">
        <v>0</v>
      </c>
      <c r="AD80" s="46">
        <f t="shared" si="41"/>
        <v>0</v>
      </c>
      <c r="AE80" s="29"/>
      <c r="AF80">
        <f>2645.11*1.2</f>
        <v>3174.1320000000001</v>
      </c>
    </row>
    <row r="81" spans="1:32" ht="23.25" customHeight="1" x14ac:dyDescent="0.2">
      <c r="A81" s="24"/>
      <c r="B81" s="35"/>
      <c r="C81" s="39" t="s">
        <v>113</v>
      </c>
      <c r="D81" s="45">
        <f t="shared" si="28"/>
        <v>7</v>
      </c>
      <c r="E81" s="41" t="s">
        <v>39</v>
      </c>
      <c r="F81" s="42">
        <f t="shared" si="29"/>
        <v>22675.944479999998</v>
      </c>
      <c r="G81" s="53">
        <v>0</v>
      </c>
      <c r="H81" s="46">
        <f t="shared" si="30"/>
        <v>0</v>
      </c>
      <c r="I81" s="53">
        <v>1</v>
      </c>
      <c r="J81" s="46">
        <f t="shared" si="31"/>
        <v>3239.4206399999994</v>
      </c>
      <c r="K81" s="53">
        <v>1</v>
      </c>
      <c r="L81" s="46">
        <f t="shared" si="32"/>
        <v>3239.4206399999994</v>
      </c>
      <c r="M81" s="53">
        <v>1</v>
      </c>
      <c r="N81" s="46">
        <f t="shared" si="33"/>
        <v>3239.4206399999994</v>
      </c>
      <c r="O81" s="53">
        <v>0</v>
      </c>
      <c r="P81" s="46">
        <f t="shared" si="34"/>
        <v>0</v>
      </c>
      <c r="Q81" s="53">
        <v>0</v>
      </c>
      <c r="R81" s="46">
        <f t="shared" si="35"/>
        <v>0</v>
      </c>
      <c r="S81" s="53">
        <v>1</v>
      </c>
      <c r="T81" s="46">
        <f t="shared" si="36"/>
        <v>3239.4206399999994</v>
      </c>
      <c r="U81" s="53">
        <v>0</v>
      </c>
      <c r="V81" s="46">
        <f t="shared" si="37"/>
        <v>0</v>
      </c>
      <c r="W81" s="53">
        <v>1</v>
      </c>
      <c r="X81" s="46">
        <f t="shared" si="38"/>
        <v>3239.4206399999994</v>
      </c>
      <c r="Y81" s="53">
        <v>1</v>
      </c>
      <c r="Z81" s="46">
        <f t="shared" si="39"/>
        <v>3239.4206399999994</v>
      </c>
      <c r="AA81" s="53">
        <v>1</v>
      </c>
      <c r="AB81" s="46">
        <f t="shared" si="40"/>
        <v>3239.4206399999994</v>
      </c>
      <c r="AC81" s="53">
        <v>0</v>
      </c>
      <c r="AD81" s="46">
        <f t="shared" si="41"/>
        <v>0</v>
      </c>
      <c r="AE81" s="29"/>
      <c r="AF81">
        <f>2327.17*1.2</f>
        <v>2792.6039999999998</v>
      </c>
    </row>
    <row r="82" spans="1:32" ht="13.5" customHeight="1" x14ac:dyDescent="0.2">
      <c r="A82" s="24"/>
      <c r="B82" s="35"/>
      <c r="C82" s="39" t="s">
        <v>114</v>
      </c>
      <c r="D82" s="45">
        <f t="shared" si="28"/>
        <v>4</v>
      </c>
      <c r="E82" s="41" t="s">
        <v>39</v>
      </c>
      <c r="F82" s="42">
        <f t="shared" si="29"/>
        <v>19610.495999999996</v>
      </c>
      <c r="G82" s="53">
        <v>0</v>
      </c>
      <c r="H82" s="46">
        <f t="shared" si="30"/>
        <v>0</v>
      </c>
      <c r="I82" s="53">
        <v>1</v>
      </c>
      <c r="J82" s="46">
        <f t="shared" si="31"/>
        <v>4902.6239999999989</v>
      </c>
      <c r="K82" s="53">
        <v>0</v>
      </c>
      <c r="L82" s="46">
        <f t="shared" si="32"/>
        <v>0</v>
      </c>
      <c r="M82" s="53">
        <v>0</v>
      </c>
      <c r="N82" s="46">
        <f t="shared" si="33"/>
        <v>0</v>
      </c>
      <c r="O82" s="53">
        <v>0</v>
      </c>
      <c r="P82" s="46">
        <f t="shared" si="34"/>
        <v>0</v>
      </c>
      <c r="Q82" s="53">
        <v>1</v>
      </c>
      <c r="R82" s="46">
        <f t="shared" si="35"/>
        <v>4902.6239999999989</v>
      </c>
      <c r="S82" s="53">
        <v>0</v>
      </c>
      <c r="T82" s="46">
        <f t="shared" si="36"/>
        <v>0</v>
      </c>
      <c r="U82" s="53">
        <v>0</v>
      </c>
      <c r="V82" s="46">
        <f t="shared" si="37"/>
        <v>0</v>
      </c>
      <c r="W82" s="53">
        <v>1</v>
      </c>
      <c r="X82" s="46">
        <f t="shared" si="38"/>
        <v>4902.6239999999989</v>
      </c>
      <c r="Y82" s="53">
        <v>1</v>
      </c>
      <c r="Z82" s="46">
        <f t="shared" si="39"/>
        <v>4902.6239999999989</v>
      </c>
      <c r="AA82" s="53">
        <v>0</v>
      </c>
      <c r="AB82" s="46">
        <f t="shared" si="40"/>
        <v>0</v>
      </c>
      <c r="AC82" s="53">
        <v>0</v>
      </c>
      <c r="AD82" s="46">
        <f t="shared" si="41"/>
        <v>0</v>
      </c>
      <c r="AE82" s="29"/>
      <c r="AF82">
        <f>3522*1.2</f>
        <v>4226.3999999999996</v>
      </c>
    </row>
    <row r="83" spans="1:32" ht="23.25" customHeight="1" x14ac:dyDescent="0.2">
      <c r="A83" s="24"/>
      <c r="B83" s="35"/>
      <c r="C83" s="39" t="s">
        <v>115</v>
      </c>
      <c r="D83" s="45">
        <f t="shared" si="28"/>
        <v>3</v>
      </c>
      <c r="E83" s="41" t="s">
        <v>39</v>
      </c>
      <c r="F83" s="42">
        <f t="shared" si="29"/>
        <v>16123.41072</v>
      </c>
      <c r="G83" s="53">
        <v>0</v>
      </c>
      <c r="H83" s="46">
        <f t="shared" si="30"/>
        <v>0</v>
      </c>
      <c r="I83" s="53">
        <v>1</v>
      </c>
      <c r="J83" s="46">
        <f t="shared" si="31"/>
        <v>5374.4702399999996</v>
      </c>
      <c r="K83" s="53">
        <v>0</v>
      </c>
      <c r="L83" s="46">
        <f t="shared" si="32"/>
        <v>0</v>
      </c>
      <c r="M83" s="53">
        <v>0</v>
      </c>
      <c r="N83" s="46">
        <f t="shared" si="33"/>
        <v>0</v>
      </c>
      <c r="O83" s="53">
        <v>0</v>
      </c>
      <c r="P83" s="46">
        <f t="shared" si="34"/>
        <v>0</v>
      </c>
      <c r="Q83" s="53">
        <v>1</v>
      </c>
      <c r="R83" s="46">
        <f t="shared" si="35"/>
        <v>5374.4702399999996</v>
      </c>
      <c r="S83" s="53">
        <v>0</v>
      </c>
      <c r="T83" s="46">
        <f t="shared" si="36"/>
        <v>0</v>
      </c>
      <c r="U83" s="53">
        <v>0</v>
      </c>
      <c r="V83" s="46">
        <f t="shared" si="37"/>
        <v>0</v>
      </c>
      <c r="W83" s="53">
        <v>0</v>
      </c>
      <c r="X83" s="46">
        <f t="shared" si="38"/>
        <v>0</v>
      </c>
      <c r="Y83" s="53">
        <v>1</v>
      </c>
      <c r="Z83" s="46">
        <f t="shared" si="39"/>
        <v>5374.4702399999996</v>
      </c>
      <c r="AA83" s="53">
        <v>0</v>
      </c>
      <c r="AB83" s="46">
        <f t="shared" si="40"/>
        <v>0</v>
      </c>
      <c r="AC83" s="53">
        <v>0</v>
      </c>
      <c r="AD83" s="46">
        <f t="shared" si="41"/>
        <v>0</v>
      </c>
      <c r="AE83" s="29"/>
      <c r="AF83">
        <f>3860.97*1.2</f>
        <v>4633.1639999999998</v>
      </c>
    </row>
    <row r="84" spans="1:32" ht="23.25" customHeight="1" x14ac:dyDescent="0.2">
      <c r="A84" s="24"/>
      <c r="B84" s="35"/>
      <c r="C84" s="39" t="s">
        <v>116</v>
      </c>
      <c r="D84" s="45">
        <f t="shared" si="28"/>
        <v>3</v>
      </c>
      <c r="E84" s="41" t="s">
        <v>39</v>
      </c>
      <c r="F84" s="42">
        <f t="shared" si="29"/>
        <v>16123.41072</v>
      </c>
      <c r="G84" s="53">
        <v>0</v>
      </c>
      <c r="H84" s="46">
        <f t="shared" si="30"/>
        <v>0</v>
      </c>
      <c r="I84" s="53">
        <v>1</v>
      </c>
      <c r="J84" s="46">
        <f t="shared" si="31"/>
        <v>5374.4702399999996</v>
      </c>
      <c r="K84" s="53">
        <v>0</v>
      </c>
      <c r="L84" s="46">
        <f t="shared" si="32"/>
        <v>0</v>
      </c>
      <c r="M84" s="53">
        <v>0</v>
      </c>
      <c r="N84" s="46">
        <f t="shared" si="33"/>
        <v>0</v>
      </c>
      <c r="O84" s="53">
        <v>0</v>
      </c>
      <c r="P84" s="46">
        <f t="shared" si="34"/>
        <v>0</v>
      </c>
      <c r="Q84" s="53">
        <v>1</v>
      </c>
      <c r="R84" s="46">
        <f t="shared" si="35"/>
        <v>5374.4702399999996</v>
      </c>
      <c r="S84" s="53">
        <v>0</v>
      </c>
      <c r="T84" s="46">
        <f t="shared" si="36"/>
        <v>0</v>
      </c>
      <c r="U84" s="53">
        <v>0</v>
      </c>
      <c r="V84" s="46">
        <f t="shared" si="37"/>
        <v>0</v>
      </c>
      <c r="W84" s="53">
        <v>0</v>
      </c>
      <c r="X84" s="46">
        <f t="shared" si="38"/>
        <v>0</v>
      </c>
      <c r="Y84" s="53">
        <v>1</v>
      </c>
      <c r="Z84" s="46">
        <f t="shared" si="39"/>
        <v>5374.4702399999996</v>
      </c>
      <c r="AA84" s="53">
        <v>0</v>
      </c>
      <c r="AB84" s="46">
        <f t="shared" si="40"/>
        <v>0</v>
      </c>
      <c r="AC84" s="53">
        <v>0</v>
      </c>
      <c r="AD84" s="46">
        <f t="shared" si="41"/>
        <v>0</v>
      </c>
      <c r="AE84" s="29"/>
      <c r="AF84">
        <f>3860.97*1.2</f>
        <v>4633.1639999999998</v>
      </c>
    </row>
    <row r="85" spans="1:32" ht="24" customHeight="1" x14ac:dyDescent="0.2">
      <c r="A85" s="24"/>
      <c r="B85" s="35"/>
      <c r="C85" s="39" t="s">
        <v>117</v>
      </c>
      <c r="D85" s="45">
        <f t="shared" si="28"/>
        <v>3</v>
      </c>
      <c r="E85" s="41" t="s">
        <v>39</v>
      </c>
      <c r="F85" s="42">
        <f t="shared" si="29"/>
        <v>16123.41072</v>
      </c>
      <c r="G85" s="53">
        <v>0</v>
      </c>
      <c r="H85" s="46">
        <f t="shared" si="30"/>
        <v>0</v>
      </c>
      <c r="I85" s="53">
        <v>1</v>
      </c>
      <c r="J85" s="46">
        <f t="shared" si="31"/>
        <v>5374.4702399999996</v>
      </c>
      <c r="K85" s="53">
        <v>0</v>
      </c>
      <c r="L85" s="46">
        <f t="shared" si="32"/>
        <v>0</v>
      </c>
      <c r="M85" s="53">
        <v>0</v>
      </c>
      <c r="N85" s="46">
        <f t="shared" si="33"/>
        <v>0</v>
      </c>
      <c r="O85" s="53">
        <v>0</v>
      </c>
      <c r="P85" s="46">
        <f t="shared" si="34"/>
        <v>0</v>
      </c>
      <c r="Q85" s="53">
        <v>1</v>
      </c>
      <c r="R85" s="46">
        <f t="shared" si="35"/>
        <v>5374.4702399999996</v>
      </c>
      <c r="S85" s="53">
        <v>0</v>
      </c>
      <c r="T85" s="46">
        <f t="shared" si="36"/>
        <v>0</v>
      </c>
      <c r="U85" s="53">
        <v>0</v>
      </c>
      <c r="V85" s="46">
        <f t="shared" si="37"/>
        <v>0</v>
      </c>
      <c r="W85" s="53">
        <v>0</v>
      </c>
      <c r="X85" s="46">
        <f t="shared" si="38"/>
        <v>0</v>
      </c>
      <c r="Y85" s="53">
        <v>1</v>
      </c>
      <c r="Z85" s="46">
        <f t="shared" si="39"/>
        <v>5374.4702399999996</v>
      </c>
      <c r="AA85" s="53">
        <v>0</v>
      </c>
      <c r="AB85" s="46">
        <f t="shared" si="40"/>
        <v>0</v>
      </c>
      <c r="AC85" s="53">
        <v>0</v>
      </c>
      <c r="AD85" s="46">
        <f t="shared" si="41"/>
        <v>0</v>
      </c>
      <c r="AE85" s="29"/>
      <c r="AF85">
        <f>3860.97*1.2</f>
        <v>4633.1639999999998</v>
      </c>
    </row>
    <row r="86" spans="1:32" ht="24" customHeight="1" x14ac:dyDescent="0.2">
      <c r="A86" s="24"/>
      <c r="B86" s="35">
        <v>214</v>
      </c>
      <c r="C86" s="51" t="s">
        <v>118</v>
      </c>
      <c r="D86" s="52">
        <f t="shared" si="28"/>
        <v>20</v>
      </c>
      <c r="E86" s="41" t="s">
        <v>39</v>
      </c>
      <c r="F86" s="42">
        <f>SUM(H86,J86,L86,N86,P86,R86,T86,V86,X86,Z86,AB86,AD86)</f>
        <v>2688</v>
      </c>
      <c r="G86" s="53">
        <v>5</v>
      </c>
      <c r="H86" s="46">
        <v>600</v>
      </c>
      <c r="I86" s="53">
        <v>5</v>
      </c>
      <c r="J86" s="46">
        <f t="shared" si="31"/>
        <v>696</v>
      </c>
      <c r="K86" s="53">
        <v>5</v>
      </c>
      <c r="L86" s="46">
        <f t="shared" si="32"/>
        <v>696</v>
      </c>
      <c r="M86" s="53">
        <v>5</v>
      </c>
      <c r="N86" s="46">
        <f t="shared" si="33"/>
        <v>696</v>
      </c>
      <c r="O86" s="53">
        <v>0</v>
      </c>
      <c r="P86" s="46">
        <f t="shared" si="34"/>
        <v>0</v>
      </c>
      <c r="Q86" s="53">
        <v>0</v>
      </c>
      <c r="R86" s="46">
        <v>0</v>
      </c>
      <c r="S86" s="53">
        <v>0</v>
      </c>
      <c r="T86" s="46">
        <v>0</v>
      </c>
      <c r="U86" s="53">
        <v>0</v>
      </c>
      <c r="V86" s="46">
        <f>(U86*AF86)*1.16</f>
        <v>0</v>
      </c>
      <c r="W86" s="53">
        <v>0</v>
      </c>
      <c r="X86" s="46">
        <v>0</v>
      </c>
      <c r="Y86" s="53">
        <v>0</v>
      </c>
      <c r="Z86" s="46">
        <v>0</v>
      </c>
      <c r="AA86" s="53">
        <v>0</v>
      </c>
      <c r="AB86" s="46">
        <v>0</v>
      </c>
      <c r="AC86" s="53">
        <v>0</v>
      </c>
      <c r="AD86" s="46">
        <v>0</v>
      </c>
      <c r="AE86" s="29"/>
      <c r="AF86">
        <v>120</v>
      </c>
    </row>
    <row r="87" spans="1:32" ht="24" customHeight="1" x14ac:dyDescent="0.2">
      <c r="A87" s="24"/>
      <c r="B87" s="35">
        <v>214</v>
      </c>
      <c r="C87" s="51" t="s">
        <v>119</v>
      </c>
      <c r="D87" s="52">
        <f t="shared" si="28"/>
        <v>6</v>
      </c>
      <c r="E87" s="41" t="s">
        <v>39</v>
      </c>
      <c r="F87" s="42">
        <f>SUM(H87,J87,L87,N87,P87,R87,T87,V87,X87,Z87,AB87,AD87)</f>
        <v>661.19999999999993</v>
      </c>
      <c r="G87" s="53">
        <v>0</v>
      </c>
      <c r="H87" s="46">
        <f>(G87*AF87)*1.16</f>
        <v>0</v>
      </c>
      <c r="I87" s="53">
        <v>0</v>
      </c>
      <c r="J87" s="46">
        <f t="shared" si="31"/>
        <v>0</v>
      </c>
      <c r="K87" s="53">
        <v>6</v>
      </c>
      <c r="L87" s="46">
        <f t="shared" si="32"/>
        <v>661.19999999999993</v>
      </c>
      <c r="M87" s="53">
        <v>0</v>
      </c>
      <c r="N87" s="46">
        <f t="shared" si="33"/>
        <v>0</v>
      </c>
      <c r="O87" s="53">
        <v>0</v>
      </c>
      <c r="P87" s="46">
        <f t="shared" si="34"/>
        <v>0</v>
      </c>
      <c r="Q87" s="53">
        <v>0</v>
      </c>
      <c r="R87" s="46">
        <f>(Q87*AF87)*1.16</f>
        <v>0</v>
      </c>
      <c r="S87" s="53">
        <v>0</v>
      </c>
      <c r="T87" s="46">
        <f>(S87*AF87)*1.16</f>
        <v>0</v>
      </c>
      <c r="U87" s="53">
        <v>0</v>
      </c>
      <c r="V87" s="46">
        <f>(U87*AF87)*1.16</f>
        <v>0</v>
      </c>
      <c r="W87" s="53">
        <v>0</v>
      </c>
      <c r="X87" s="46">
        <f>(W87*AF87)*1.16</f>
        <v>0</v>
      </c>
      <c r="Y87" s="53">
        <v>0</v>
      </c>
      <c r="Z87" s="46">
        <f>(Y87*AF87)*1.16</f>
        <v>0</v>
      </c>
      <c r="AA87" s="53">
        <v>0</v>
      </c>
      <c r="AB87" s="46">
        <f>(AA87*AF87)*1.16</f>
        <v>0</v>
      </c>
      <c r="AC87" s="53">
        <v>0</v>
      </c>
      <c r="AD87" s="46">
        <f>(AC87*AF87)*1.16</f>
        <v>0</v>
      </c>
      <c r="AE87" s="29"/>
      <c r="AF87">
        <v>95</v>
      </c>
    </row>
    <row r="88" spans="1:32" ht="24" customHeight="1" x14ac:dyDescent="0.2">
      <c r="A88" s="24"/>
      <c r="B88" s="35">
        <v>214</v>
      </c>
      <c r="C88" s="51" t="s">
        <v>120</v>
      </c>
      <c r="D88" s="52">
        <f t="shared" si="28"/>
        <v>6</v>
      </c>
      <c r="E88" s="41" t="s">
        <v>39</v>
      </c>
      <c r="F88" s="42">
        <f>SUM(H88,J88,L88,N88,P88,R88,T88,V88,X88,Z88,AB88,AD88)</f>
        <v>1106.6399999999999</v>
      </c>
      <c r="G88" s="53">
        <v>0</v>
      </c>
      <c r="H88" s="46">
        <f>(G88*AF88)*1.16</f>
        <v>0</v>
      </c>
      <c r="I88" s="53">
        <v>6</v>
      </c>
      <c r="J88" s="46">
        <f t="shared" si="31"/>
        <v>1106.6399999999999</v>
      </c>
      <c r="K88" s="53">
        <v>0</v>
      </c>
      <c r="L88" s="46">
        <f t="shared" si="32"/>
        <v>0</v>
      </c>
      <c r="M88" s="53">
        <v>0</v>
      </c>
      <c r="N88" s="46">
        <f t="shared" si="33"/>
        <v>0</v>
      </c>
      <c r="O88" s="53">
        <v>0</v>
      </c>
      <c r="P88" s="46">
        <f t="shared" si="34"/>
        <v>0</v>
      </c>
      <c r="Q88" s="53">
        <v>0</v>
      </c>
      <c r="R88" s="46">
        <f>(Q88*AF88)*1.16</f>
        <v>0</v>
      </c>
      <c r="S88" s="53">
        <v>0</v>
      </c>
      <c r="T88" s="46">
        <f>(S88*AF88)*1.16</f>
        <v>0</v>
      </c>
      <c r="U88" s="53">
        <v>0</v>
      </c>
      <c r="V88" s="46">
        <f>(U88*AF88)*1.16</f>
        <v>0</v>
      </c>
      <c r="W88" s="53">
        <v>0</v>
      </c>
      <c r="X88" s="46">
        <f>(W88*AF88)*1.16</f>
        <v>0</v>
      </c>
      <c r="Y88" s="53">
        <v>0</v>
      </c>
      <c r="Z88" s="46">
        <f>(Y88*AF88)*1.16</f>
        <v>0</v>
      </c>
      <c r="AA88" s="53">
        <v>0</v>
      </c>
      <c r="AB88" s="46">
        <f>(AA88*AF88)*1.16</f>
        <v>0</v>
      </c>
      <c r="AC88" s="53">
        <v>0</v>
      </c>
      <c r="AD88" s="46">
        <f>(AC88*AF88)*1.16</f>
        <v>0</v>
      </c>
      <c r="AE88" s="29"/>
      <c r="AF88">
        <v>159</v>
      </c>
    </row>
    <row r="89" spans="1:32" ht="24" customHeight="1" x14ac:dyDescent="0.2">
      <c r="A89" s="24"/>
      <c r="B89" s="35">
        <v>214</v>
      </c>
      <c r="C89" s="51" t="s">
        <v>121</v>
      </c>
      <c r="D89" s="52">
        <f t="shared" si="28"/>
        <v>6</v>
      </c>
      <c r="E89" s="41" t="s">
        <v>39</v>
      </c>
      <c r="F89" s="42">
        <f>SUM(H89,J89,L89,N89,P89,R89,T89,V89,X89,Z89,AB89,AD89)</f>
        <v>1496.3999999999999</v>
      </c>
      <c r="G89" s="53">
        <v>0</v>
      </c>
      <c r="H89" s="46">
        <f>(G89*AF89)*1.16</f>
        <v>0</v>
      </c>
      <c r="I89" s="53">
        <v>6</v>
      </c>
      <c r="J89" s="46">
        <f t="shared" si="31"/>
        <v>1496.3999999999999</v>
      </c>
      <c r="K89" s="53">
        <v>0</v>
      </c>
      <c r="L89" s="46">
        <f t="shared" si="32"/>
        <v>0</v>
      </c>
      <c r="M89" s="53">
        <v>0</v>
      </c>
      <c r="N89" s="46">
        <f t="shared" si="33"/>
        <v>0</v>
      </c>
      <c r="O89" s="53">
        <v>0</v>
      </c>
      <c r="P89" s="46">
        <f t="shared" si="34"/>
        <v>0</v>
      </c>
      <c r="Q89" s="53">
        <v>0</v>
      </c>
      <c r="R89" s="46">
        <f>(Q89*AF89)*1.16</f>
        <v>0</v>
      </c>
      <c r="S89" s="53">
        <v>0</v>
      </c>
      <c r="T89" s="46">
        <f>(S89*AF89)*1.16</f>
        <v>0</v>
      </c>
      <c r="U89" s="53">
        <v>0</v>
      </c>
      <c r="V89" s="46">
        <f>(U89*AF89)*1.16</f>
        <v>0</v>
      </c>
      <c r="W89" s="53">
        <v>0</v>
      </c>
      <c r="X89" s="46">
        <f>(W89*AF89)*1.16</f>
        <v>0</v>
      </c>
      <c r="Y89" s="53">
        <v>0</v>
      </c>
      <c r="Z89" s="46">
        <f>(Y89*AF89)*1.16</f>
        <v>0</v>
      </c>
      <c r="AA89" s="53">
        <v>0</v>
      </c>
      <c r="AB89" s="46">
        <f>(AA89*AF89)*1.16</f>
        <v>0</v>
      </c>
      <c r="AC89" s="53">
        <v>0</v>
      </c>
      <c r="AD89" s="46">
        <f>(AC89*AF89)*1.16</f>
        <v>0</v>
      </c>
      <c r="AE89" s="29"/>
      <c r="AF89">
        <v>215</v>
      </c>
    </row>
    <row r="90" spans="1:32" ht="15.75" customHeight="1" x14ac:dyDescent="0.2">
      <c r="A90" s="24"/>
      <c r="B90" s="35">
        <v>215</v>
      </c>
      <c r="C90" s="31" t="s">
        <v>122</v>
      </c>
      <c r="D90" s="52"/>
      <c r="E90" s="30"/>
      <c r="F90" s="36">
        <f>SUM(F91:F91)</f>
        <v>5600</v>
      </c>
      <c r="G90" s="55" t="s">
        <v>123</v>
      </c>
      <c r="H90" s="36">
        <f>SUM(H91:H91)</f>
        <v>560</v>
      </c>
      <c r="I90" s="56"/>
      <c r="J90" s="36">
        <f>SUM(J91:J91)</f>
        <v>560</v>
      </c>
      <c r="K90" s="56"/>
      <c r="L90" s="36">
        <f>SUM(L91:L91)</f>
        <v>560</v>
      </c>
      <c r="M90" s="56"/>
      <c r="N90" s="36">
        <f>SUM(N91:N91)</f>
        <v>0</v>
      </c>
      <c r="O90" s="56"/>
      <c r="P90" s="36">
        <f>SUM(P91:P91)</f>
        <v>560</v>
      </c>
      <c r="Q90" s="56"/>
      <c r="R90" s="36">
        <f>SUM(R91:R91)</f>
        <v>560</v>
      </c>
      <c r="S90" s="56"/>
      <c r="T90" s="36">
        <f>SUM(T91:T91)</f>
        <v>560</v>
      </c>
      <c r="U90" s="56"/>
      <c r="V90" s="36">
        <f>SUM(V91:V91)</f>
        <v>560</v>
      </c>
      <c r="W90" s="56"/>
      <c r="X90" s="36">
        <f>SUM(X91:X91)</f>
        <v>0</v>
      </c>
      <c r="Y90" s="56"/>
      <c r="Z90" s="36">
        <f>SUM(Z91:Z91)</f>
        <v>0</v>
      </c>
      <c r="AA90" s="56"/>
      <c r="AB90" s="36">
        <f>SUM(AB91:AB91)</f>
        <v>560</v>
      </c>
      <c r="AC90" s="56"/>
      <c r="AD90" s="36">
        <f>SUM(AD91:AD91)</f>
        <v>1120</v>
      </c>
      <c r="AE90" s="29"/>
    </row>
    <row r="91" spans="1:32" ht="13.5" customHeight="1" x14ac:dyDescent="0.2">
      <c r="A91" s="24"/>
      <c r="B91" s="35"/>
      <c r="C91" s="51" t="s">
        <v>124</v>
      </c>
      <c r="D91" s="57">
        <f>G91+I91+K91+M91+O91+Q91+S91+U91+W91+Y91+AA91+AC91</f>
        <v>20</v>
      </c>
      <c r="E91" s="41" t="s">
        <v>39</v>
      </c>
      <c r="F91" s="60">
        <f>SUM(H91,J91,L91,N91,P91,R91,T91,V91,X91,Z91,AB91,AD91)</f>
        <v>5600</v>
      </c>
      <c r="G91" s="43">
        <v>2</v>
      </c>
      <c r="H91" s="44">
        <v>560</v>
      </c>
      <c r="I91" s="43">
        <v>2</v>
      </c>
      <c r="J91" s="44">
        <v>560</v>
      </c>
      <c r="K91" s="43">
        <v>2</v>
      </c>
      <c r="L91" s="44">
        <v>560</v>
      </c>
      <c r="M91" s="43">
        <v>0</v>
      </c>
      <c r="N91" s="44">
        <v>0</v>
      </c>
      <c r="O91" s="43">
        <v>2</v>
      </c>
      <c r="P91" s="44">
        <v>560</v>
      </c>
      <c r="Q91" s="43">
        <v>2</v>
      </c>
      <c r="R91" s="44">
        <v>560</v>
      </c>
      <c r="S91" s="43">
        <v>2</v>
      </c>
      <c r="T91" s="44">
        <v>560</v>
      </c>
      <c r="U91" s="43">
        <v>2</v>
      </c>
      <c r="V91" s="44">
        <v>560</v>
      </c>
      <c r="W91" s="43">
        <v>0</v>
      </c>
      <c r="X91" s="44">
        <v>0</v>
      </c>
      <c r="Y91" s="43">
        <v>0</v>
      </c>
      <c r="Z91" s="44">
        <v>0</v>
      </c>
      <c r="AA91" s="43">
        <v>2</v>
      </c>
      <c r="AB91" s="44">
        <v>560</v>
      </c>
      <c r="AC91" s="43">
        <v>4</v>
      </c>
      <c r="AD91" s="44">
        <v>1120</v>
      </c>
      <c r="AE91" s="29"/>
    </row>
    <row r="92" spans="1:32" ht="12.75" customHeight="1" x14ac:dyDescent="0.2">
      <c r="A92" s="24"/>
      <c r="B92" s="35">
        <v>216</v>
      </c>
      <c r="C92" s="31" t="s">
        <v>125</v>
      </c>
      <c r="D92" s="57"/>
      <c r="E92" s="30"/>
      <c r="F92" s="36">
        <f>SUM(F93:F127)</f>
        <v>150148.40016000002</v>
      </c>
      <c r="G92" s="61" t="s">
        <v>123</v>
      </c>
      <c r="H92" s="36">
        <f>SUM(H93:H127)</f>
        <v>11894.02752</v>
      </c>
      <c r="I92" s="34"/>
      <c r="J92" s="36">
        <f>SUM(J93:J127)</f>
        <v>12909.672479999997</v>
      </c>
      <c r="K92" s="34"/>
      <c r="L92" s="36">
        <f>SUM(L93:L127)</f>
        <v>12374.03088</v>
      </c>
      <c r="M92" s="34"/>
      <c r="N92" s="36">
        <f>SUM(N93:N127)</f>
        <v>12881.219999999998</v>
      </c>
      <c r="O92" s="34"/>
      <c r="P92" s="36">
        <f>SUM(P93:P127)</f>
        <v>11894.02752</v>
      </c>
      <c r="Q92" s="34"/>
      <c r="R92" s="36">
        <f>SUM(R93:R127)</f>
        <v>12909.672479999997</v>
      </c>
      <c r="S92" s="34"/>
      <c r="T92" s="36">
        <f>SUM(T93:T127)</f>
        <v>12374.03088</v>
      </c>
      <c r="U92" s="34"/>
      <c r="V92" s="36">
        <f>SUM(V93:V127)</f>
        <v>12881.219999999998</v>
      </c>
      <c r="W92" s="34"/>
      <c r="X92" s="36">
        <f>SUM(X93:X127)</f>
        <v>11894.02752</v>
      </c>
      <c r="Y92" s="36"/>
      <c r="Z92" s="36">
        <f>SUM(Z93:Z127)</f>
        <v>13361.223359999998</v>
      </c>
      <c r="AA92" s="34"/>
      <c r="AB92" s="36">
        <f>SUM(AB93:AB127)</f>
        <v>11894.02752</v>
      </c>
      <c r="AC92" s="34"/>
      <c r="AD92" s="36">
        <f>SUM(AD93:AD127)</f>
        <v>12881.219999999998</v>
      </c>
      <c r="AE92" s="29"/>
    </row>
    <row r="93" spans="1:32" ht="12.75" customHeight="1" x14ac:dyDescent="0.2">
      <c r="A93" s="24"/>
      <c r="B93" s="38"/>
      <c r="C93" s="51" t="s">
        <v>126</v>
      </c>
      <c r="D93" s="52">
        <f t="shared" ref="D93:D127" si="42">G93+I93+K93+M93+O93+Q93+S93+U93+W93+Y93+AA93+AC93</f>
        <v>24</v>
      </c>
      <c r="E93" s="41" t="s">
        <v>39</v>
      </c>
      <c r="F93" s="42">
        <f t="shared" ref="F93:F127" si="43">H93+J93+L93+N93+P93+R93+T93+V93+X93+Z93+AB93+AD93</f>
        <v>1619.9539199999997</v>
      </c>
      <c r="G93" s="53">
        <v>2</v>
      </c>
      <c r="H93" s="46">
        <f t="shared" ref="H93:H127" si="44">(G93*AF93)*1.16</f>
        <v>134.99616</v>
      </c>
      <c r="I93" s="53">
        <v>2</v>
      </c>
      <c r="J93" s="46">
        <f t="shared" ref="J93:J127" si="45">(I93*AF93)*1.16</f>
        <v>134.99616</v>
      </c>
      <c r="K93" s="53">
        <v>2</v>
      </c>
      <c r="L93" s="46">
        <f t="shared" ref="L93:L127" si="46">(K93*AF93)*1.16</f>
        <v>134.99616</v>
      </c>
      <c r="M93" s="53">
        <v>2</v>
      </c>
      <c r="N93" s="46">
        <f t="shared" ref="N93:N127" si="47">(M93*AF93)*1.16</f>
        <v>134.99616</v>
      </c>
      <c r="O93" s="53">
        <v>2</v>
      </c>
      <c r="P93" s="46">
        <f t="shared" ref="P93:P127" si="48">(O93*AF93)*1.16</f>
        <v>134.99616</v>
      </c>
      <c r="Q93" s="53">
        <v>2</v>
      </c>
      <c r="R93" s="46">
        <f t="shared" ref="R93:R127" si="49">(Q93*AF93)*1.16</f>
        <v>134.99616</v>
      </c>
      <c r="S93" s="53">
        <v>2</v>
      </c>
      <c r="T93" s="46">
        <f t="shared" ref="T93:T127" si="50">(S93*AF93)*1.16</f>
        <v>134.99616</v>
      </c>
      <c r="U93" s="53">
        <v>2</v>
      </c>
      <c r="V93" s="46">
        <f t="shared" ref="V93:V127" si="51">(U93*AF93)*1.16</f>
        <v>134.99616</v>
      </c>
      <c r="W93" s="53">
        <v>2</v>
      </c>
      <c r="X93" s="46">
        <f t="shared" ref="X93:X127" si="52">(W93*AF93)*1.16</f>
        <v>134.99616</v>
      </c>
      <c r="Y93" s="53">
        <v>2</v>
      </c>
      <c r="Z93" s="46">
        <f t="shared" ref="Z93:Z127" si="53">(Y93*AF93)*1.16</f>
        <v>134.99616</v>
      </c>
      <c r="AA93" s="53">
        <v>2</v>
      </c>
      <c r="AB93" s="46">
        <f t="shared" ref="AB93:AB127" si="54">(AA93*AF93)*1.16</f>
        <v>134.99616</v>
      </c>
      <c r="AC93" s="53">
        <v>2</v>
      </c>
      <c r="AD93" s="46">
        <f t="shared" ref="AD93:AD127" si="55">(AC93*AF93)*1.16</f>
        <v>134.99616</v>
      </c>
      <c r="AE93" s="29"/>
      <c r="AF93">
        <f>48.49*1.2</f>
        <v>58.188000000000002</v>
      </c>
    </row>
    <row r="94" spans="1:32" ht="12" customHeight="1" x14ac:dyDescent="0.2">
      <c r="A94" s="24"/>
      <c r="B94" s="38"/>
      <c r="C94" s="51" t="s">
        <v>127</v>
      </c>
      <c r="D94" s="52">
        <f t="shared" si="42"/>
        <v>24</v>
      </c>
      <c r="E94" s="62" t="s">
        <v>39</v>
      </c>
      <c r="F94" s="42">
        <f t="shared" si="43"/>
        <v>3207.1680000000001</v>
      </c>
      <c r="G94" s="43">
        <v>2</v>
      </c>
      <c r="H94" s="46">
        <f t="shared" si="44"/>
        <v>267.26399999999995</v>
      </c>
      <c r="I94" s="43">
        <v>2</v>
      </c>
      <c r="J94" s="46">
        <f t="shared" si="45"/>
        <v>267.26399999999995</v>
      </c>
      <c r="K94" s="43">
        <v>2</v>
      </c>
      <c r="L94" s="46">
        <f t="shared" si="46"/>
        <v>267.26399999999995</v>
      </c>
      <c r="M94" s="43">
        <v>2</v>
      </c>
      <c r="N94" s="46">
        <f t="shared" si="47"/>
        <v>267.26399999999995</v>
      </c>
      <c r="O94" s="43">
        <v>2</v>
      </c>
      <c r="P94" s="46">
        <f t="shared" si="48"/>
        <v>267.26399999999995</v>
      </c>
      <c r="Q94" s="43">
        <v>2</v>
      </c>
      <c r="R94" s="46">
        <f t="shared" si="49"/>
        <v>267.26399999999995</v>
      </c>
      <c r="S94" s="43">
        <v>2</v>
      </c>
      <c r="T94" s="46">
        <f t="shared" si="50"/>
        <v>267.26399999999995</v>
      </c>
      <c r="U94" s="43">
        <v>2</v>
      </c>
      <c r="V94" s="46">
        <f t="shared" si="51"/>
        <v>267.26399999999995</v>
      </c>
      <c r="W94" s="43">
        <v>2</v>
      </c>
      <c r="X94" s="46">
        <f t="shared" si="52"/>
        <v>267.26399999999995</v>
      </c>
      <c r="Y94" s="43">
        <v>2</v>
      </c>
      <c r="Z94" s="46">
        <f t="shared" si="53"/>
        <v>267.26399999999995</v>
      </c>
      <c r="AA94" s="43">
        <v>2</v>
      </c>
      <c r="AB94" s="46">
        <f t="shared" si="54"/>
        <v>267.26399999999995</v>
      </c>
      <c r="AC94" s="43">
        <v>2</v>
      </c>
      <c r="AD94" s="46">
        <f t="shared" si="55"/>
        <v>267.26399999999995</v>
      </c>
      <c r="AE94" s="29"/>
      <c r="AF94">
        <f>96*1.2</f>
        <v>115.19999999999999</v>
      </c>
    </row>
    <row r="95" spans="1:32" ht="26.25" customHeight="1" x14ac:dyDescent="0.2">
      <c r="A95" s="63"/>
      <c r="B95" s="38"/>
      <c r="C95" s="51" t="s">
        <v>128</v>
      </c>
      <c r="D95" s="52">
        <f t="shared" si="42"/>
        <v>2</v>
      </c>
      <c r="E95" s="41" t="s">
        <v>39</v>
      </c>
      <c r="F95" s="42">
        <f t="shared" si="43"/>
        <v>56.904960000000003</v>
      </c>
      <c r="G95" s="53">
        <v>0</v>
      </c>
      <c r="H95" s="46">
        <f t="shared" si="44"/>
        <v>0</v>
      </c>
      <c r="I95" s="53">
        <v>1</v>
      </c>
      <c r="J95" s="46">
        <f t="shared" si="45"/>
        <v>28.452480000000001</v>
      </c>
      <c r="K95" s="53">
        <v>0</v>
      </c>
      <c r="L95" s="46">
        <f t="shared" si="46"/>
        <v>0</v>
      </c>
      <c r="M95" s="53">
        <v>0</v>
      </c>
      <c r="N95" s="46">
        <f t="shared" si="47"/>
        <v>0</v>
      </c>
      <c r="O95" s="53">
        <v>0</v>
      </c>
      <c r="P95" s="46">
        <f t="shared" si="48"/>
        <v>0</v>
      </c>
      <c r="Q95" s="53">
        <v>1</v>
      </c>
      <c r="R95" s="46">
        <f t="shared" si="49"/>
        <v>28.452480000000001</v>
      </c>
      <c r="S95" s="53">
        <v>0</v>
      </c>
      <c r="T95" s="46">
        <f t="shared" si="50"/>
        <v>0</v>
      </c>
      <c r="U95" s="53">
        <v>0</v>
      </c>
      <c r="V95" s="46">
        <f t="shared" si="51"/>
        <v>0</v>
      </c>
      <c r="W95" s="53">
        <v>0</v>
      </c>
      <c r="X95" s="46">
        <f t="shared" si="52"/>
        <v>0</v>
      </c>
      <c r="Y95" s="53">
        <v>0</v>
      </c>
      <c r="Z95" s="46">
        <f t="shared" si="53"/>
        <v>0</v>
      </c>
      <c r="AA95" s="53">
        <v>0</v>
      </c>
      <c r="AB95" s="46">
        <f t="shared" si="54"/>
        <v>0</v>
      </c>
      <c r="AC95" s="53">
        <v>0</v>
      </c>
      <c r="AD95" s="46">
        <f t="shared" si="55"/>
        <v>0</v>
      </c>
      <c r="AE95" s="29"/>
      <c r="AF95">
        <f>20.44*1.2</f>
        <v>24.528000000000002</v>
      </c>
    </row>
    <row r="96" spans="1:32" ht="20.65" customHeight="1" x14ac:dyDescent="0.2">
      <c r="A96" s="24"/>
      <c r="B96" s="38"/>
      <c r="C96" s="51" t="s">
        <v>129</v>
      </c>
      <c r="D96" s="52">
        <f t="shared" si="42"/>
        <v>36</v>
      </c>
      <c r="E96" s="41" t="s">
        <v>39</v>
      </c>
      <c r="F96" s="42">
        <f t="shared" si="43"/>
        <v>1337.4892799999998</v>
      </c>
      <c r="G96" s="53">
        <v>3</v>
      </c>
      <c r="H96" s="46">
        <f t="shared" si="44"/>
        <v>111.45743999999999</v>
      </c>
      <c r="I96" s="53">
        <v>3</v>
      </c>
      <c r="J96" s="46">
        <f t="shared" si="45"/>
        <v>111.45743999999999</v>
      </c>
      <c r="K96" s="53">
        <v>3</v>
      </c>
      <c r="L96" s="46">
        <f t="shared" si="46"/>
        <v>111.45743999999999</v>
      </c>
      <c r="M96" s="53">
        <v>3</v>
      </c>
      <c r="N96" s="46">
        <f t="shared" si="47"/>
        <v>111.45743999999999</v>
      </c>
      <c r="O96" s="53">
        <v>3</v>
      </c>
      <c r="P96" s="46">
        <f t="shared" si="48"/>
        <v>111.45743999999999</v>
      </c>
      <c r="Q96" s="53">
        <v>3</v>
      </c>
      <c r="R96" s="46">
        <f t="shared" si="49"/>
        <v>111.45743999999999</v>
      </c>
      <c r="S96" s="53">
        <v>3</v>
      </c>
      <c r="T96" s="46">
        <f t="shared" si="50"/>
        <v>111.45743999999999</v>
      </c>
      <c r="U96" s="53">
        <v>3</v>
      </c>
      <c r="V96" s="46">
        <f t="shared" si="51"/>
        <v>111.45743999999999</v>
      </c>
      <c r="W96" s="53">
        <v>3</v>
      </c>
      <c r="X96" s="46">
        <f t="shared" si="52"/>
        <v>111.45743999999999</v>
      </c>
      <c r="Y96" s="53">
        <v>3</v>
      </c>
      <c r="Z96" s="46">
        <f t="shared" si="53"/>
        <v>111.45743999999999</v>
      </c>
      <c r="AA96" s="53">
        <v>3</v>
      </c>
      <c r="AB96" s="46">
        <f t="shared" si="54"/>
        <v>111.45743999999999</v>
      </c>
      <c r="AC96" s="53">
        <v>3</v>
      </c>
      <c r="AD96" s="46">
        <f t="shared" si="55"/>
        <v>111.45743999999999</v>
      </c>
      <c r="AE96" s="29"/>
      <c r="AF96">
        <f>26.69*1.2</f>
        <v>32.027999999999999</v>
      </c>
    </row>
    <row r="97" spans="1:32" ht="12.75" customHeight="1" x14ac:dyDescent="0.2">
      <c r="A97" s="24"/>
      <c r="B97" s="38"/>
      <c r="C97" s="51" t="s">
        <v>130</v>
      </c>
      <c r="D97" s="52">
        <f t="shared" si="42"/>
        <v>18</v>
      </c>
      <c r="E97" s="62" t="s">
        <v>39</v>
      </c>
      <c r="F97" s="42">
        <f t="shared" si="43"/>
        <v>455.51807999999988</v>
      </c>
      <c r="G97" s="43">
        <v>2</v>
      </c>
      <c r="H97" s="46">
        <f t="shared" si="44"/>
        <v>50.613119999999995</v>
      </c>
      <c r="I97" s="43">
        <v>1</v>
      </c>
      <c r="J97" s="46">
        <f t="shared" si="45"/>
        <v>25.306559999999998</v>
      </c>
      <c r="K97" s="43">
        <v>2</v>
      </c>
      <c r="L97" s="46">
        <f t="shared" si="46"/>
        <v>50.613119999999995</v>
      </c>
      <c r="M97" s="43">
        <v>1</v>
      </c>
      <c r="N97" s="46">
        <f t="shared" si="47"/>
        <v>25.306559999999998</v>
      </c>
      <c r="O97" s="43">
        <v>2</v>
      </c>
      <c r="P97" s="46">
        <f t="shared" si="48"/>
        <v>50.613119999999995</v>
      </c>
      <c r="Q97" s="43">
        <v>1</v>
      </c>
      <c r="R97" s="46">
        <f t="shared" si="49"/>
        <v>25.306559999999998</v>
      </c>
      <c r="S97" s="43">
        <v>2</v>
      </c>
      <c r="T97" s="46">
        <f t="shared" si="50"/>
        <v>50.613119999999995</v>
      </c>
      <c r="U97" s="43">
        <v>1</v>
      </c>
      <c r="V97" s="46">
        <f t="shared" si="51"/>
        <v>25.306559999999998</v>
      </c>
      <c r="W97" s="43">
        <v>2</v>
      </c>
      <c r="X97" s="46">
        <f t="shared" si="52"/>
        <v>50.613119999999995</v>
      </c>
      <c r="Y97" s="43">
        <v>1</v>
      </c>
      <c r="Z97" s="46">
        <f t="shared" si="53"/>
        <v>25.306559999999998</v>
      </c>
      <c r="AA97" s="43">
        <v>2</v>
      </c>
      <c r="AB97" s="46">
        <f t="shared" si="54"/>
        <v>50.613119999999995</v>
      </c>
      <c r="AC97" s="43">
        <v>1</v>
      </c>
      <c r="AD97" s="46">
        <f t="shared" si="55"/>
        <v>25.306559999999998</v>
      </c>
      <c r="AE97" s="29"/>
      <c r="AF97">
        <f>18.18*1.2</f>
        <v>21.815999999999999</v>
      </c>
    </row>
    <row r="98" spans="1:32" ht="27" customHeight="1" x14ac:dyDescent="0.2">
      <c r="A98" s="24"/>
      <c r="B98" s="38"/>
      <c r="C98" s="51" t="s">
        <v>131</v>
      </c>
      <c r="D98" s="52">
        <f t="shared" si="42"/>
        <v>96</v>
      </c>
      <c r="E98" s="62" t="s">
        <v>132</v>
      </c>
      <c r="F98" s="42">
        <f t="shared" si="43"/>
        <v>5087.3702399999975</v>
      </c>
      <c r="G98" s="43">
        <v>8</v>
      </c>
      <c r="H98" s="46">
        <f t="shared" si="44"/>
        <v>423.94751999999994</v>
      </c>
      <c r="I98" s="43">
        <v>8</v>
      </c>
      <c r="J98" s="46">
        <f t="shared" si="45"/>
        <v>423.94751999999994</v>
      </c>
      <c r="K98" s="43">
        <v>8</v>
      </c>
      <c r="L98" s="46">
        <f t="shared" si="46"/>
        <v>423.94751999999994</v>
      </c>
      <c r="M98" s="43">
        <v>8</v>
      </c>
      <c r="N98" s="46">
        <f t="shared" si="47"/>
        <v>423.94751999999994</v>
      </c>
      <c r="O98" s="43">
        <v>8</v>
      </c>
      <c r="P98" s="46">
        <f t="shared" si="48"/>
        <v>423.94751999999994</v>
      </c>
      <c r="Q98" s="43">
        <v>8</v>
      </c>
      <c r="R98" s="46">
        <f t="shared" si="49"/>
        <v>423.94751999999994</v>
      </c>
      <c r="S98" s="43">
        <v>8</v>
      </c>
      <c r="T98" s="46">
        <f t="shared" si="50"/>
        <v>423.94751999999994</v>
      </c>
      <c r="U98" s="43">
        <v>8</v>
      </c>
      <c r="V98" s="46">
        <f t="shared" si="51"/>
        <v>423.94751999999994</v>
      </c>
      <c r="W98" s="43">
        <v>8</v>
      </c>
      <c r="X98" s="46">
        <f t="shared" si="52"/>
        <v>423.94751999999994</v>
      </c>
      <c r="Y98" s="43">
        <v>8</v>
      </c>
      <c r="Z98" s="46">
        <f t="shared" si="53"/>
        <v>423.94751999999994</v>
      </c>
      <c r="AA98" s="43">
        <v>8</v>
      </c>
      <c r="AB98" s="46">
        <f t="shared" si="54"/>
        <v>423.94751999999994</v>
      </c>
      <c r="AC98" s="43">
        <v>8</v>
      </c>
      <c r="AD98" s="46">
        <f t="shared" si="55"/>
        <v>423.94751999999994</v>
      </c>
      <c r="AE98" s="29"/>
      <c r="AF98">
        <f>38.07*1.2</f>
        <v>45.683999999999997</v>
      </c>
    </row>
    <row r="99" spans="1:32" ht="27" customHeight="1" x14ac:dyDescent="0.2">
      <c r="A99" s="24"/>
      <c r="B99" s="38"/>
      <c r="C99" s="51" t="s">
        <v>133</v>
      </c>
      <c r="D99" s="52">
        <f t="shared" si="42"/>
        <v>120</v>
      </c>
      <c r="E99" s="62" t="s">
        <v>132</v>
      </c>
      <c r="F99" s="42">
        <f t="shared" si="43"/>
        <v>6701.6448000000009</v>
      </c>
      <c r="G99" s="43">
        <v>10</v>
      </c>
      <c r="H99" s="46">
        <f t="shared" si="44"/>
        <v>558.47039999999993</v>
      </c>
      <c r="I99" s="43">
        <v>10</v>
      </c>
      <c r="J99" s="46">
        <f t="shared" si="45"/>
        <v>558.47039999999993</v>
      </c>
      <c r="K99" s="43">
        <v>10</v>
      </c>
      <c r="L99" s="46">
        <f t="shared" si="46"/>
        <v>558.47039999999993</v>
      </c>
      <c r="M99" s="43">
        <v>10</v>
      </c>
      <c r="N99" s="46">
        <f t="shared" si="47"/>
        <v>558.47039999999993</v>
      </c>
      <c r="O99" s="43">
        <v>10</v>
      </c>
      <c r="P99" s="46">
        <f t="shared" si="48"/>
        <v>558.47039999999993</v>
      </c>
      <c r="Q99" s="43">
        <v>10</v>
      </c>
      <c r="R99" s="46">
        <f t="shared" si="49"/>
        <v>558.47039999999993</v>
      </c>
      <c r="S99" s="43">
        <v>10</v>
      </c>
      <c r="T99" s="46">
        <f t="shared" si="50"/>
        <v>558.47039999999993</v>
      </c>
      <c r="U99" s="43">
        <v>10</v>
      </c>
      <c r="V99" s="46">
        <f t="shared" si="51"/>
        <v>558.47039999999993</v>
      </c>
      <c r="W99" s="43">
        <v>10</v>
      </c>
      <c r="X99" s="46">
        <f t="shared" si="52"/>
        <v>558.47039999999993</v>
      </c>
      <c r="Y99" s="43">
        <v>10</v>
      </c>
      <c r="Z99" s="46">
        <f t="shared" si="53"/>
        <v>558.47039999999993</v>
      </c>
      <c r="AA99" s="43">
        <v>10</v>
      </c>
      <c r="AB99" s="46">
        <f t="shared" si="54"/>
        <v>558.47039999999993</v>
      </c>
      <c r="AC99" s="43">
        <v>10</v>
      </c>
      <c r="AD99" s="46">
        <f t="shared" si="55"/>
        <v>558.47039999999993</v>
      </c>
      <c r="AE99" s="29"/>
      <c r="AF99">
        <f>40.12*1.2</f>
        <v>48.143999999999998</v>
      </c>
    </row>
    <row r="100" spans="1:32" ht="27" customHeight="1" x14ac:dyDescent="0.2">
      <c r="A100" s="24"/>
      <c r="B100" s="38"/>
      <c r="C100" s="51" t="s">
        <v>134</v>
      </c>
      <c r="D100" s="52">
        <f t="shared" si="42"/>
        <v>12</v>
      </c>
      <c r="E100" s="62" t="s">
        <v>132</v>
      </c>
      <c r="F100" s="42">
        <f t="shared" si="43"/>
        <v>661.47839999999997</v>
      </c>
      <c r="G100" s="43">
        <v>1</v>
      </c>
      <c r="H100" s="46">
        <f t="shared" si="44"/>
        <v>55.123199999999997</v>
      </c>
      <c r="I100" s="43">
        <v>1</v>
      </c>
      <c r="J100" s="46">
        <f t="shared" si="45"/>
        <v>55.123199999999997</v>
      </c>
      <c r="K100" s="43">
        <v>1</v>
      </c>
      <c r="L100" s="46">
        <f t="shared" si="46"/>
        <v>55.123199999999997</v>
      </c>
      <c r="M100" s="43">
        <v>1</v>
      </c>
      <c r="N100" s="46">
        <f t="shared" si="47"/>
        <v>55.123199999999997</v>
      </c>
      <c r="O100" s="43">
        <v>1</v>
      </c>
      <c r="P100" s="46">
        <f t="shared" si="48"/>
        <v>55.123199999999997</v>
      </c>
      <c r="Q100" s="43">
        <v>1</v>
      </c>
      <c r="R100" s="46">
        <f t="shared" si="49"/>
        <v>55.123199999999997</v>
      </c>
      <c r="S100" s="43">
        <v>1</v>
      </c>
      <c r="T100" s="46">
        <f t="shared" si="50"/>
        <v>55.123199999999997</v>
      </c>
      <c r="U100" s="43">
        <v>1</v>
      </c>
      <c r="V100" s="46">
        <f t="shared" si="51"/>
        <v>55.123199999999997</v>
      </c>
      <c r="W100" s="43">
        <v>1</v>
      </c>
      <c r="X100" s="46">
        <f t="shared" si="52"/>
        <v>55.123199999999997</v>
      </c>
      <c r="Y100" s="43">
        <v>1</v>
      </c>
      <c r="Z100" s="46">
        <f t="shared" si="53"/>
        <v>55.123199999999997</v>
      </c>
      <c r="AA100" s="43">
        <v>1</v>
      </c>
      <c r="AB100" s="46">
        <f t="shared" si="54"/>
        <v>55.123199999999997</v>
      </c>
      <c r="AC100" s="43">
        <v>1</v>
      </c>
      <c r="AD100" s="46">
        <f t="shared" si="55"/>
        <v>55.123199999999997</v>
      </c>
      <c r="AE100" s="29"/>
      <c r="AF100">
        <f>39.6*1.2</f>
        <v>47.52</v>
      </c>
    </row>
    <row r="101" spans="1:32" ht="27" customHeight="1" x14ac:dyDescent="0.2">
      <c r="A101" s="24"/>
      <c r="B101" s="38"/>
      <c r="C101" s="51" t="s">
        <v>135</v>
      </c>
      <c r="D101" s="52">
        <f t="shared" si="42"/>
        <v>6</v>
      </c>
      <c r="E101" s="62" t="s">
        <v>39</v>
      </c>
      <c r="F101" s="42">
        <f t="shared" si="43"/>
        <v>229.67999999999998</v>
      </c>
      <c r="G101" s="43">
        <v>0</v>
      </c>
      <c r="H101" s="46">
        <f t="shared" si="44"/>
        <v>0</v>
      </c>
      <c r="I101" s="43">
        <v>1</v>
      </c>
      <c r="J101" s="46">
        <f t="shared" si="45"/>
        <v>38.279999999999994</v>
      </c>
      <c r="K101" s="43">
        <v>0</v>
      </c>
      <c r="L101" s="46">
        <f t="shared" si="46"/>
        <v>0</v>
      </c>
      <c r="M101" s="43">
        <v>1</v>
      </c>
      <c r="N101" s="46">
        <f t="shared" si="47"/>
        <v>38.279999999999994</v>
      </c>
      <c r="O101" s="43">
        <v>0</v>
      </c>
      <c r="P101" s="46">
        <f t="shared" si="48"/>
        <v>0</v>
      </c>
      <c r="Q101" s="43">
        <v>1</v>
      </c>
      <c r="R101" s="46">
        <f t="shared" si="49"/>
        <v>38.279999999999994</v>
      </c>
      <c r="S101" s="43">
        <v>0</v>
      </c>
      <c r="T101" s="46">
        <f t="shared" si="50"/>
        <v>0</v>
      </c>
      <c r="U101" s="43">
        <v>1</v>
      </c>
      <c r="V101" s="46">
        <f t="shared" si="51"/>
        <v>38.279999999999994</v>
      </c>
      <c r="W101" s="43">
        <v>0</v>
      </c>
      <c r="X101" s="46">
        <f t="shared" si="52"/>
        <v>0</v>
      </c>
      <c r="Y101" s="43">
        <v>1</v>
      </c>
      <c r="Z101" s="46">
        <f t="shared" si="53"/>
        <v>38.279999999999994</v>
      </c>
      <c r="AA101" s="43">
        <v>0</v>
      </c>
      <c r="AB101" s="46">
        <f t="shared" si="54"/>
        <v>0</v>
      </c>
      <c r="AC101" s="43">
        <v>1</v>
      </c>
      <c r="AD101" s="46">
        <f t="shared" si="55"/>
        <v>38.279999999999994</v>
      </c>
      <c r="AE101" s="29"/>
      <c r="AF101">
        <f>27.5*1.2</f>
        <v>33</v>
      </c>
    </row>
    <row r="102" spans="1:32" ht="27" customHeight="1" x14ac:dyDescent="0.2">
      <c r="A102" s="24"/>
      <c r="B102" s="38"/>
      <c r="C102" s="51" t="s">
        <v>136</v>
      </c>
      <c r="D102" s="52">
        <f t="shared" si="42"/>
        <v>18</v>
      </c>
      <c r="E102" s="62" t="s">
        <v>39</v>
      </c>
      <c r="F102" s="42">
        <f t="shared" si="43"/>
        <v>518.40863999999999</v>
      </c>
      <c r="G102" s="43">
        <v>2</v>
      </c>
      <c r="H102" s="46">
        <f t="shared" si="44"/>
        <v>57.600959999999993</v>
      </c>
      <c r="I102" s="43">
        <v>1</v>
      </c>
      <c r="J102" s="46">
        <f t="shared" si="45"/>
        <v>28.800479999999997</v>
      </c>
      <c r="K102" s="43">
        <v>2</v>
      </c>
      <c r="L102" s="46">
        <f t="shared" si="46"/>
        <v>57.600959999999993</v>
      </c>
      <c r="M102" s="43">
        <v>1</v>
      </c>
      <c r="N102" s="46">
        <f t="shared" si="47"/>
        <v>28.800479999999997</v>
      </c>
      <c r="O102" s="43">
        <v>2</v>
      </c>
      <c r="P102" s="46">
        <f t="shared" si="48"/>
        <v>57.600959999999993</v>
      </c>
      <c r="Q102" s="43">
        <v>1</v>
      </c>
      <c r="R102" s="46">
        <f t="shared" si="49"/>
        <v>28.800479999999997</v>
      </c>
      <c r="S102" s="43">
        <v>2</v>
      </c>
      <c r="T102" s="46">
        <f t="shared" si="50"/>
        <v>57.600959999999993</v>
      </c>
      <c r="U102" s="43">
        <v>1</v>
      </c>
      <c r="V102" s="46">
        <f t="shared" si="51"/>
        <v>28.800479999999997</v>
      </c>
      <c r="W102" s="43">
        <v>2</v>
      </c>
      <c r="X102" s="46">
        <f t="shared" si="52"/>
        <v>57.600959999999993</v>
      </c>
      <c r="Y102" s="43">
        <v>1</v>
      </c>
      <c r="Z102" s="46">
        <f t="shared" si="53"/>
        <v>28.800479999999997</v>
      </c>
      <c r="AA102" s="43">
        <v>2</v>
      </c>
      <c r="AB102" s="46">
        <f t="shared" si="54"/>
        <v>57.600959999999993</v>
      </c>
      <c r="AC102" s="43">
        <v>1</v>
      </c>
      <c r="AD102" s="46">
        <f t="shared" si="55"/>
        <v>28.800479999999997</v>
      </c>
      <c r="AE102" s="29"/>
      <c r="AF102">
        <f>20.69*1.2</f>
        <v>24.827999999999999</v>
      </c>
    </row>
    <row r="103" spans="1:32" ht="27" customHeight="1" x14ac:dyDescent="0.2">
      <c r="A103" s="24"/>
      <c r="B103" s="38"/>
      <c r="C103" s="51" t="s">
        <v>137</v>
      </c>
      <c r="D103" s="52">
        <f t="shared" si="42"/>
        <v>24</v>
      </c>
      <c r="E103" s="62" t="s">
        <v>39</v>
      </c>
      <c r="F103" s="42">
        <f t="shared" si="43"/>
        <v>870.27839999999981</v>
      </c>
      <c r="G103" s="43">
        <v>2</v>
      </c>
      <c r="H103" s="46">
        <f t="shared" si="44"/>
        <v>72.523199999999989</v>
      </c>
      <c r="I103" s="43">
        <v>2</v>
      </c>
      <c r="J103" s="46">
        <f t="shared" si="45"/>
        <v>72.523199999999989</v>
      </c>
      <c r="K103" s="43">
        <v>2</v>
      </c>
      <c r="L103" s="46">
        <f t="shared" si="46"/>
        <v>72.523199999999989</v>
      </c>
      <c r="M103" s="43">
        <v>2</v>
      </c>
      <c r="N103" s="46">
        <f t="shared" si="47"/>
        <v>72.523199999999989</v>
      </c>
      <c r="O103" s="43">
        <v>2</v>
      </c>
      <c r="P103" s="46">
        <f t="shared" si="48"/>
        <v>72.523199999999989</v>
      </c>
      <c r="Q103" s="43">
        <v>2</v>
      </c>
      <c r="R103" s="46">
        <f t="shared" si="49"/>
        <v>72.523199999999989</v>
      </c>
      <c r="S103" s="43">
        <v>2</v>
      </c>
      <c r="T103" s="46">
        <f t="shared" si="50"/>
        <v>72.523199999999989</v>
      </c>
      <c r="U103" s="43">
        <v>2</v>
      </c>
      <c r="V103" s="46">
        <f t="shared" si="51"/>
        <v>72.523199999999989</v>
      </c>
      <c r="W103" s="43">
        <v>2</v>
      </c>
      <c r="X103" s="46">
        <f t="shared" si="52"/>
        <v>72.523199999999989</v>
      </c>
      <c r="Y103" s="43">
        <v>2</v>
      </c>
      <c r="Z103" s="46">
        <f t="shared" si="53"/>
        <v>72.523199999999989</v>
      </c>
      <c r="AA103" s="43">
        <v>2</v>
      </c>
      <c r="AB103" s="46">
        <f t="shared" si="54"/>
        <v>72.523199999999989</v>
      </c>
      <c r="AC103" s="43">
        <v>2</v>
      </c>
      <c r="AD103" s="46">
        <f t="shared" si="55"/>
        <v>72.523199999999989</v>
      </c>
      <c r="AE103" s="29"/>
      <c r="AF103">
        <f>26.05*1.2</f>
        <v>31.259999999999998</v>
      </c>
    </row>
    <row r="104" spans="1:32" ht="27" customHeight="1" x14ac:dyDescent="0.2">
      <c r="A104" s="24"/>
      <c r="B104" s="38"/>
      <c r="C104" s="51" t="s">
        <v>138</v>
      </c>
      <c r="D104" s="52">
        <f t="shared" si="42"/>
        <v>120</v>
      </c>
      <c r="E104" s="62" t="s">
        <v>132</v>
      </c>
      <c r="F104" s="42">
        <f t="shared" si="43"/>
        <v>3818.5343999999986</v>
      </c>
      <c r="G104" s="43">
        <v>10</v>
      </c>
      <c r="H104" s="46">
        <f t="shared" si="44"/>
        <v>318.21119999999996</v>
      </c>
      <c r="I104" s="43">
        <v>10</v>
      </c>
      <c r="J104" s="46">
        <f t="shared" si="45"/>
        <v>318.21119999999996</v>
      </c>
      <c r="K104" s="43">
        <v>10</v>
      </c>
      <c r="L104" s="46">
        <f t="shared" si="46"/>
        <v>318.21119999999996</v>
      </c>
      <c r="M104" s="43">
        <v>10</v>
      </c>
      <c r="N104" s="46">
        <f t="shared" si="47"/>
        <v>318.21119999999996</v>
      </c>
      <c r="O104" s="43">
        <v>10</v>
      </c>
      <c r="P104" s="46">
        <f t="shared" si="48"/>
        <v>318.21119999999996</v>
      </c>
      <c r="Q104" s="43">
        <v>10</v>
      </c>
      <c r="R104" s="46">
        <f t="shared" si="49"/>
        <v>318.21119999999996</v>
      </c>
      <c r="S104" s="43">
        <v>10</v>
      </c>
      <c r="T104" s="46">
        <f t="shared" si="50"/>
        <v>318.21119999999996</v>
      </c>
      <c r="U104" s="43">
        <v>10</v>
      </c>
      <c r="V104" s="46">
        <f t="shared" si="51"/>
        <v>318.21119999999996</v>
      </c>
      <c r="W104" s="43">
        <v>10</v>
      </c>
      <c r="X104" s="46">
        <f t="shared" si="52"/>
        <v>318.21119999999996</v>
      </c>
      <c r="Y104" s="43">
        <v>10</v>
      </c>
      <c r="Z104" s="46">
        <f t="shared" si="53"/>
        <v>318.21119999999996</v>
      </c>
      <c r="AA104" s="43">
        <v>10</v>
      </c>
      <c r="AB104" s="46">
        <f t="shared" si="54"/>
        <v>318.21119999999996</v>
      </c>
      <c r="AC104" s="43">
        <v>10</v>
      </c>
      <c r="AD104" s="46">
        <f t="shared" si="55"/>
        <v>318.21119999999996</v>
      </c>
      <c r="AE104" s="29"/>
      <c r="AF104">
        <f>22.86*1.2</f>
        <v>27.431999999999999</v>
      </c>
    </row>
    <row r="105" spans="1:32" ht="27" customHeight="1" x14ac:dyDescent="0.2">
      <c r="A105" s="24"/>
      <c r="B105" s="38"/>
      <c r="C105" s="51" t="s">
        <v>139</v>
      </c>
      <c r="D105" s="52">
        <f t="shared" si="42"/>
        <v>36</v>
      </c>
      <c r="E105" s="62" t="s">
        <v>39</v>
      </c>
      <c r="F105" s="42">
        <f t="shared" si="43"/>
        <v>1179.6364799999999</v>
      </c>
      <c r="G105" s="43">
        <v>3</v>
      </c>
      <c r="H105" s="46">
        <f t="shared" si="44"/>
        <v>98.303039999999996</v>
      </c>
      <c r="I105" s="43">
        <v>3</v>
      </c>
      <c r="J105" s="46">
        <f t="shared" si="45"/>
        <v>98.303039999999996</v>
      </c>
      <c r="K105" s="43">
        <v>3</v>
      </c>
      <c r="L105" s="46">
        <f t="shared" si="46"/>
        <v>98.303039999999996</v>
      </c>
      <c r="M105" s="43">
        <v>3</v>
      </c>
      <c r="N105" s="46">
        <f t="shared" si="47"/>
        <v>98.303039999999996</v>
      </c>
      <c r="O105" s="43">
        <v>3</v>
      </c>
      <c r="P105" s="46">
        <f t="shared" si="48"/>
        <v>98.303039999999996</v>
      </c>
      <c r="Q105" s="43">
        <v>3</v>
      </c>
      <c r="R105" s="46">
        <f t="shared" si="49"/>
        <v>98.303039999999996</v>
      </c>
      <c r="S105" s="43">
        <v>3</v>
      </c>
      <c r="T105" s="46">
        <f t="shared" si="50"/>
        <v>98.303039999999996</v>
      </c>
      <c r="U105" s="43">
        <v>3</v>
      </c>
      <c r="V105" s="46">
        <f t="shared" si="51"/>
        <v>98.303039999999996</v>
      </c>
      <c r="W105" s="43">
        <v>3</v>
      </c>
      <c r="X105" s="46">
        <f t="shared" si="52"/>
        <v>98.303039999999996</v>
      </c>
      <c r="Y105" s="43">
        <v>3</v>
      </c>
      <c r="Z105" s="46">
        <f t="shared" si="53"/>
        <v>98.303039999999996</v>
      </c>
      <c r="AA105" s="43">
        <v>3</v>
      </c>
      <c r="AB105" s="46">
        <f t="shared" si="54"/>
        <v>98.303039999999996</v>
      </c>
      <c r="AC105" s="43">
        <v>3</v>
      </c>
      <c r="AD105" s="46">
        <f t="shared" si="55"/>
        <v>98.303039999999996</v>
      </c>
      <c r="AE105" s="29"/>
      <c r="AF105">
        <f>23.54*1.2</f>
        <v>28.247999999999998</v>
      </c>
    </row>
    <row r="106" spans="1:32" ht="27" customHeight="1" x14ac:dyDescent="0.2">
      <c r="A106" s="24"/>
      <c r="B106" s="38"/>
      <c r="C106" s="51" t="s">
        <v>140</v>
      </c>
      <c r="D106" s="52">
        <f t="shared" si="42"/>
        <v>12</v>
      </c>
      <c r="E106" s="62" t="s">
        <v>39</v>
      </c>
      <c r="F106" s="42">
        <f t="shared" si="43"/>
        <v>338.08895999999999</v>
      </c>
      <c r="G106" s="43">
        <v>1</v>
      </c>
      <c r="H106" s="46">
        <f t="shared" si="44"/>
        <v>28.174079999999993</v>
      </c>
      <c r="I106" s="43">
        <v>1</v>
      </c>
      <c r="J106" s="46">
        <f t="shared" si="45"/>
        <v>28.174079999999993</v>
      </c>
      <c r="K106" s="43">
        <v>1</v>
      </c>
      <c r="L106" s="46">
        <f t="shared" si="46"/>
        <v>28.174079999999993</v>
      </c>
      <c r="M106" s="43">
        <v>1</v>
      </c>
      <c r="N106" s="46">
        <f t="shared" si="47"/>
        <v>28.174079999999993</v>
      </c>
      <c r="O106" s="43">
        <v>1</v>
      </c>
      <c r="P106" s="46">
        <f t="shared" si="48"/>
        <v>28.174079999999993</v>
      </c>
      <c r="Q106" s="43">
        <v>1</v>
      </c>
      <c r="R106" s="46">
        <f t="shared" si="49"/>
        <v>28.174079999999993</v>
      </c>
      <c r="S106" s="43">
        <v>1</v>
      </c>
      <c r="T106" s="46">
        <f t="shared" si="50"/>
        <v>28.174079999999993</v>
      </c>
      <c r="U106" s="43">
        <v>1</v>
      </c>
      <c r="V106" s="46">
        <f t="shared" si="51"/>
        <v>28.174079999999993</v>
      </c>
      <c r="W106" s="43">
        <v>1</v>
      </c>
      <c r="X106" s="46">
        <f t="shared" si="52"/>
        <v>28.174079999999993</v>
      </c>
      <c r="Y106" s="43">
        <v>1</v>
      </c>
      <c r="Z106" s="46">
        <f t="shared" si="53"/>
        <v>28.174079999999993</v>
      </c>
      <c r="AA106" s="43">
        <v>1</v>
      </c>
      <c r="AB106" s="46">
        <f t="shared" si="54"/>
        <v>28.174079999999993</v>
      </c>
      <c r="AC106" s="43">
        <v>1</v>
      </c>
      <c r="AD106" s="46">
        <f t="shared" si="55"/>
        <v>28.174079999999993</v>
      </c>
      <c r="AE106" s="29"/>
      <c r="AF106">
        <f>20.24*1.2</f>
        <v>24.287999999999997</v>
      </c>
    </row>
    <row r="107" spans="1:32" ht="27" customHeight="1" x14ac:dyDescent="0.2">
      <c r="A107" s="24"/>
      <c r="B107" s="38"/>
      <c r="C107" s="51" t="s">
        <v>141</v>
      </c>
      <c r="D107" s="52">
        <f t="shared" si="42"/>
        <v>72</v>
      </c>
      <c r="E107" s="62" t="s">
        <v>39</v>
      </c>
      <c r="F107" s="42">
        <f t="shared" si="43"/>
        <v>1000.2355200000003</v>
      </c>
      <c r="G107" s="43">
        <v>6</v>
      </c>
      <c r="H107" s="46">
        <f t="shared" si="44"/>
        <v>83.35296000000001</v>
      </c>
      <c r="I107" s="43">
        <v>6</v>
      </c>
      <c r="J107" s="46">
        <f t="shared" si="45"/>
        <v>83.35296000000001</v>
      </c>
      <c r="K107" s="43">
        <v>6</v>
      </c>
      <c r="L107" s="46">
        <f t="shared" si="46"/>
        <v>83.35296000000001</v>
      </c>
      <c r="M107" s="43">
        <v>6</v>
      </c>
      <c r="N107" s="46">
        <f t="shared" si="47"/>
        <v>83.35296000000001</v>
      </c>
      <c r="O107" s="43">
        <v>6</v>
      </c>
      <c r="P107" s="46">
        <f t="shared" si="48"/>
        <v>83.35296000000001</v>
      </c>
      <c r="Q107" s="43">
        <v>6</v>
      </c>
      <c r="R107" s="46">
        <f t="shared" si="49"/>
        <v>83.35296000000001</v>
      </c>
      <c r="S107" s="43">
        <v>6</v>
      </c>
      <c r="T107" s="46">
        <f t="shared" si="50"/>
        <v>83.35296000000001</v>
      </c>
      <c r="U107" s="43">
        <v>6</v>
      </c>
      <c r="V107" s="46">
        <f t="shared" si="51"/>
        <v>83.35296000000001</v>
      </c>
      <c r="W107" s="43">
        <v>6</v>
      </c>
      <c r="X107" s="46">
        <f t="shared" si="52"/>
        <v>83.35296000000001</v>
      </c>
      <c r="Y107" s="43">
        <v>6</v>
      </c>
      <c r="Z107" s="46">
        <f t="shared" si="53"/>
        <v>83.35296000000001</v>
      </c>
      <c r="AA107" s="43">
        <v>6</v>
      </c>
      <c r="AB107" s="46">
        <f t="shared" si="54"/>
        <v>83.35296000000001</v>
      </c>
      <c r="AC107" s="43">
        <v>6</v>
      </c>
      <c r="AD107" s="46">
        <f t="shared" si="55"/>
        <v>83.35296000000001</v>
      </c>
      <c r="AE107" s="29"/>
      <c r="AF107">
        <f>9.98*1.2</f>
        <v>11.976000000000001</v>
      </c>
    </row>
    <row r="108" spans="1:32" ht="27" customHeight="1" x14ac:dyDescent="0.2">
      <c r="A108" s="24"/>
      <c r="B108" s="38"/>
      <c r="C108" s="51" t="s">
        <v>142</v>
      </c>
      <c r="D108" s="52">
        <f t="shared" si="42"/>
        <v>48</v>
      </c>
      <c r="E108" s="62" t="s">
        <v>39</v>
      </c>
      <c r="F108" s="42">
        <f t="shared" si="43"/>
        <v>861.25824</v>
      </c>
      <c r="G108" s="43">
        <v>4</v>
      </c>
      <c r="H108" s="46">
        <f t="shared" si="44"/>
        <v>71.771519999999995</v>
      </c>
      <c r="I108" s="43">
        <v>4</v>
      </c>
      <c r="J108" s="46">
        <f t="shared" si="45"/>
        <v>71.771519999999995</v>
      </c>
      <c r="K108" s="43">
        <v>4</v>
      </c>
      <c r="L108" s="46">
        <f t="shared" si="46"/>
        <v>71.771519999999995</v>
      </c>
      <c r="M108" s="43">
        <v>4</v>
      </c>
      <c r="N108" s="46">
        <f t="shared" si="47"/>
        <v>71.771519999999995</v>
      </c>
      <c r="O108" s="43">
        <v>4</v>
      </c>
      <c r="P108" s="46">
        <f t="shared" si="48"/>
        <v>71.771519999999995</v>
      </c>
      <c r="Q108" s="43">
        <v>4</v>
      </c>
      <c r="R108" s="46">
        <f t="shared" si="49"/>
        <v>71.771519999999995</v>
      </c>
      <c r="S108" s="43">
        <v>4</v>
      </c>
      <c r="T108" s="46">
        <f t="shared" si="50"/>
        <v>71.771519999999995</v>
      </c>
      <c r="U108" s="43">
        <v>4</v>
      </c>
      <c r="V108" s="46">
        <f t="shared" si="51"/>
        <v>71.771519999999995</v>
      </c>
      <c r="W108" s="43">
        <v>4</v>
      </c>
      <c r="X108" s="46">
        <f t="shared" si="52"/>
        <v>71.771519999999995</v>
      </c>
      <c r="Y108" s="43">
        <v>4</v>
      </c>
      <c r="Z108" s="46">
        <f t="shared" si="53"/>
        <v>71.771519999999995</v>
      </c>
      <c r="AA108" s="43">
        <v>4</v>
      </c>
      <c r="AB108" s="46">
        <f t="shared" si="54"/>
        <v>71.771519999999995</v>
      </c>
      <c r="AC108" s="43">
        <v>4</v>
      </c>
      <c r="AD108" s="46">
        <f t="shared" si="55"/>
        <v>71.771519999999995</v>
      </c>
      <c r="AE108" s="29"/>
      <c r="AF108">
        <f>12.89*1.2</f>
        <v>15.468</v>
      </c>
    </row>
    <row r="109" spans="1:32" ht="27" customHeight="1" x14ac:dyDescent="0.2">
      <c r="A109" s="24"/>
      <c r="B109" s="38"/>
      <c r="C109" s="51" t="s">
        <v>143</v>
      </c>
      <c r="D109" s="52">
        <f t="shared" si="42"/>
        <v>18</v>
      </c>
      <c r="E109" s="62" t="s">
        <v>144</v>
      </c>
      <c r="F109" s="42">
        <f t="shared" si="43"/>
        <v>23760.103679999997</v>
      </c>
      <c r="G109" s="43">
        <v>1</v>
      </c>
      <c r="H109" s="46">
        <f t="shared" si="44"/>
        <v>1320.0057599999998</v>
      </c>
      <c r="I109" s="43">
        <v>2</v>
      </c>
      <c r="J109" s="46">
        <f t="shared" si="45"/>
        <v>2640.0115199999996</v>
      </c>
      <c r="K109" s="43">
        <v>1</v>
      </c>
      <c r="L109" s="46">
        <f t="shared" si="46"/>
        <v>1320.0057599999998</v>
      </c>
      <c r="M109" s="43">
        <v>2</v>
      </c>
      <c r="N109" s="46">
        <f t="shared" si="47"/>
        <v>2640.0115199999996</v>
      </c>
      <c r="O109" s="43">
        <v>1</v>
      </c>
      <c r="P109" s="46">
        <f t="shared" si="48"/>
        <v>1320.0057599999998</v>
      </c>
      <c r="Q109" s="43">
        <v>2</v>
      </c>
      <c r="R109" s="46">
        <f t="shared" si="49"/>
        <v>2640.0115199999996</v>
      </c>
      <c r="S109" s="43">
        <v>1</v>
      </c>
      <c r="T109" s="46">
        <f t="shared" si="50"/>
        <v>1320.0057599999998</v>
      </c>
      <c r="U109" s="43">
        <v>2</v>
      </c>
      <c r="V109" s="46">
        <f t="shared" si="51"/>
        <v>2640.0115199999996</v>
      </c>
      <c r="W109" s="43">
        <v>1</v>
      </c>
      <c r="X109" s="46">
        <f t="shared" si="52"/>
        <v>1320.0057599999998</v>
      </c>
      <c r="Y109" s="43">
        <v>2</v>
      </c>
      <c r="Z109" s="46">
        <f t="shared" si="53"/>
        <v>2640.0115199999996</v>
      </c>
      <c r="AA109" s="43">
        <v>1</v>
      </c>
      <c r="AB109" s="46">
        <f t="shared" si="54"/>
        <v>1320.0057599999998</v>
      </c>
      <c r="AC109" s="43">
        <v>2</v>
      </c>
      <c r="AD109" s="46">
        <f t="shared" si="55"/>
        <v>2640.0115199999996</v>
      </c>
      <c r="AE109" s="29"/>
      <c r="AF109">
        <f>948.28*1.2</f>
        <v>1137.9359999999999</v>
      </c>
    </row>
    <row r="110" spans="1:32" ht="27" customHeight="1" x14ac:dyDescent="0.2">
      <c r="A110" s="24"/>
      <c r="B110" s="38"/>
      <c r="C110" s="51" t="s">
        <v>145</v>
      </c>
      <c r="D110" s="52">
        <f t="shared" si="42"/>
        <v>24</v>
      </c>
      <c r="E110" s="62" t="s">
        <v>146</v>
      </c>
      <c r="F110" s="42">
        <f t="shared" si="43"/>
        <v>431.96543999999994</v>
      </c>
      <c r="G110" s="43">
        <v>2</v>
      </c>
      <c r="H110" s="46">
        <f t="shared" si="44"/>
        <v>35.997119999999995</v>
      </c>
      <c r="I110" s="43">
        <v>2</v>
      </c>
      <c r="J110" s="46">
        <f t="shared" si="45"/>
        <v>35.997119999999995</v>
      </c>
      <c r="K110" s="43">
        <v>2</v>
      </c>
      <c r="L110" s="46">
        <f t="shared" si="46"/>
        <v>35.997119999999995</v>
      </c>
      <c r="M110" s="43">
        <v>2</v>
      </c>
      <c r="N110" s="46">
        <f t="shared" si="47"/>
        <v>35.997119999999995</v>
      </c>
      <c r="O110" s="43">
        <v>2</v>
      </c>
      <c r="P110" s="46">
        <f t="shared" si="48"/>
        <v>35.997119999999995</v>
      </c>
      <c r="Q110" s="43">
        <v>2</v>
      </c>
      <c r="R110" s="46">
        <f t="shared" si="49"/>
        <v>35.997119999999995</v>
      </c>
      <c r="S110" s="43">
        <v>2</v>
      </c>
      <c r="T110" s="46">
        <f t="shared" si="50"/>
        <v>35.997119999999995</v>
      </c>
      <c r="U110" s="43">
        <v>2</v>
      </c>
      <c r="V110" s="46">
        <f t="shared" si="51"/>
        <v>35.997119999999995</v>
      </c>
      <c r="W110" s="43">
        <v>2</v>
      </c>
      <c r="X110" s="46">
        <f t="shared" si="52"/>
        <v>35.997119999999995</v>
      </c>
      <c r="Y110" s="43">
        <v>2</v>
      </c>
      <c r="Z110" s="46">
        <f t="shared" si="53"/>
        <v>35.997119999999995</v>
      </c>
      <c r="AA110" s="43">
        <v>2</v>
      </c>
      <c r="AB110" s="46">
        <f t="shared" si="54"/>
        <v>35.997119999999995</v>
      </c>
      <c r="AC110" s="43">
        <v>2</v>
      </c>
      <c r="AD110" s="46">
        <f t="shared" si="55"/>
        <v>35.997119999999995</v>
      </c>
      <c r="AE110" s="29"/>
      <c r="AF110">
        <f>12.93*1.2</f>
        <v>15.515999999999998</v>
      </c>
    </row>
    <row r="111" spans="1:32" ht="27" customHeight="1" x14ac:dyDescent="0.2">
      <c r="A111" s="24"/>
      <c r="B111" s="38"/>
      <c r="C111" s="51" t="s">
        <v>147</v>
      </c>
      <c r="D111" s="52">
        <f t="shared" si="42"/>
        <v>24</v>
      </c>
      <c r="E111" s="62" t="s">
        <v>146</v>
      </c>
      <c r="F111" s="42">
        <f t="shared" si="43"/>
        <v>431.96543999999994</v>
      </c>
      <c r="G111" s="43">
        <v>2</v>
      </c>
      <c r="H111" s="46">
        <f t="shared" si="44"/>
        <v>35.997119999999995</v>
      </c>
      <c r="I111" s="43">
        <v>2</v>
      </c>
      <c r="J111" s="46">
        <f t="shared" si="45"/>
        <v>35.997119999999995</v>
      </c>
      <c r="K111" s="43">
        <v>2</v>
      </c>
      <c r="L111" s="46">
        <f t="shared" si="46"/>
        <v>35.997119999999995</v>
      </c>
      <c r="M111" s="43">
        <v>2</v>
      </c>
      <c r="N111" s="46">
        <f t="shared" si="47"/>
        <v>35.997119999999995</v>
      </c>
      <c r="O111" s="43">
        <v>2</v>
      </c>
      <c r="P111" s="46">
        <f t="shared" si="48"/>
        <v>35.997119999999995</v>
      </c>
      <c r="Q111" s="43">
        <v>2</v>
      </c>
      <c r="R111" s="46">
        <f t="shared" si="49"/>
        <v>35.997119999999995</v>
      </c>
      <c r="S111" s="43">
        <v>2</v>
      </c>
      <c r="T111" s="46">
        <f t="shared" si="50"/>
        <v>35.997119999999995</v>
      </c>
      <c r="U111" s="43">
        <v>2</v>
      </c>
      <c r="V111" s="46">
        <f t="shared" si="51"/>
        <v>35.997119999999995</v>
      </c>
      <c r="W111" s="43">
        <v>2</v>
      </c>
      <c r="X111" s="46">
        <f t="shared" si="52"/>
        <v>35.997119999999995</v>
      </c>
      <c r="Y111" s="43">
        <v>2</v>
      </c>
      <c r="Z111" s="46">
        <f t="shared" si="53"/>
        <v>35.997119999999995</v>
      </c>
      <c r="AA111" s="43">
        <v>2</v>
      </c>
      <c r="AB111" s="46">
        <f t="shared" si="54"/>
        <v>35.997119999999995</v>
      </c>
      <c r="AC111" s="43">
        <v>2</v>
      </c>
      <c r="AD111" s="46">
        <f t="shared" si="55"/>
        <v>35.997119999999995</v>
      </c>
      <c r="AE111" s="29"/>
      <c r="AF111">
        <f>12.93*1.2</f>
        <v>15.515999999999998</v>
      </c>
    </row>
    <row r="112" spans="1:32" ht="27" customHeight="1" x14ac:dyDescent="0.2">
      <c r="A112" s="24"/>
      <c r="B112" s="38"/>
      <c r="C112" s="51" t="s">
        <v>148</v>
      </c>
      <c r="D112" s="52">
        <f t="shared" si="42"/>
        <v>12</v>
      </c>
      <c r="E112" s="62" t="s">
        <v>39</v>
      </c>
      <c r="F112" s="42">
        <f t="shared" si="43"/>
        <v>864.76608000000022</v>
      </c>
      <c r="G112" s="43">
        <v>1</v>
      </c>
      <c r="H112" s="46">
        <f t="shared" si="44"/>
        <v>72.063839999999999</v>
      </c>
      <c r="I112" s="43">
        <v>1</v>
      </c>
      <c r="J112" s="46">
        <f t="shared" si="45"/>
        <v>72.063839999999999</v>
      </c>
      <c r="K112" s="43">
        <v>1</v>
      </c>
      <c r="L112" s="46">
        <f t="shared" si="46"/>
        <v>72.063839999999999</v>
      </c>
      <c r="M112" s="43">
        <v>1</v>
      </c>
      <c r="N112" s="46">
        <f t="shared" si="47"/>
        <v>72.063839999999999</v>
      </c>
      <c r="O112" s="43">
        <v>1</v>
      </c>
      <c r="P112" s="46">
        <f t="shared" si="48"/>
        <v>72.063839999999999</v>
      </c>
      <c r="Q112" s="43">
        <v>1</v>
      </c>
      <c r="R112" s="46">
        <f t="shared" si="49"/>
        <v>72.063839999999999</v>
      </c>
      <c r="S112" s="43">
        <v>1</v>
      </c>
      <c r="T112" s="46">
        <f t="shared" si="50"/>
        <v>72.063839999999999</v>
      </c>
      <c r="U112" s="43">
        <v>1</v>
      </c>
      <c r="V112" s="46">
        <f t="shared" si="51"/>
        <v>72.063839999999999</v>
      </c>
      <c r="W112" s="43">
        <v>1</v>
      </c>
      <c r="X112" s="46">
        <f t="shared" si="52"/>
        <v>72.063839999999999</v>
      </c>
      <c r="Y112" s="43">
        <v>1</v>
      </c>
      <c r="Z112" s="46">
        <f t="shared" si="53"/>
        <v>72.063839999999999</v>
      </c>
      <c r="AA112" s="43">
        <v>1</v>
      </c>
      <c r="AB112" s="46">
        <f t="shared" si="54"/>
        <v>72.063839999999999</v>
      </c>
      <c r="AC112" s="43">
        <v>1</v>
      </c>
      <c r="AD112" s="46">
        <f t="shared" si="55"/>
        <v>72.063839999999999</v>
      </c>
      <c r="AE112" s="29"/>
      <c r="AF112">
        <f>51.77*1.2</f>
        <v>62.124000000000002</v>
      </c>
    </row>
    <row r="113" spans="1:32" ht="27" customHeight="1" x14ac:dyDescent="0.2">
      <c r="A113" s="24"/>
      <c r="B113" s="38"/>
      <c r="C113" s="51" t="s">
        <v>149</v>
      </c>
      <c r="D113" s="52">
        <f t="shared" si="42"/>
        <v>12</v>
      </c>
      <c r="E113" s="62" t="s">
        <v>144</v>
      </c>
      <c r="F113" s="42">
        <f t="shared" si="43"/>
        <v>4576.7289599999995</v>
      </c>
      <c r="G113" s="43">
        <v>1</v>
      </c>
      <c r="H113" s="46">
        <f t="shared" si="44"/>
        <v>381.39407999999997</v>
      </c>
      <c r="I113" s="43">
        <v>1</v>
      </c>
      <c r="J113" s="46">
        <f t="shared" si="45"/>
        <v>381.39407999999997</v>
      </c>
      <c r="K113" s="43">
        <v>1</v>
      </c>
      <c r="L113" s="46">
        <f t="shared" si="46"/>
        <v>381.39407999999997</v>
      </c>
      <c r="M113" s="43">
        <v>1</v>
      </c>
      <c r="N113" s="46">
        <f t="shared" si="47"/>
        <v>381.39407999999997</v>
      </c>
      <c r="O113" s="43">
        <v>1</v>
      </c>
      <c r="P113" s="46">
        <f t="shared" si="48"/>
        <v>381.39407999999997</v>
      </c>
      <c r="Q113" s="43">
        <v>1</v>
      </c>
      <c r="R113" s="46">
        <f t="shared" si="49"/>
        <v>381.39407999999997</v>
      </c>
      <c r="S113" s="43">
        <v>1</v>
      </c>
      <c r="T113" s="46">
        <f t="shared" si="50"/>
        <v>381.39407999999997</v>
      </c>
      <c r="U113" s="43">
        <v>1</v>
      </c>
      <c r="V113" s="46">
        <f t="shared" si="51"/>
        <v>381.39407999999997</v>
      </c>
      <c r="W113" s="43">
        <v>1</v>
      </c>
      <c r="X113" s="46">
        <f t="shared" si="52"/>
        <v>381.39407999999997</v>
      </c>
      <c r="Y113" s="43">
        <v>1</v>
      </c>
      <c r="Z113" s="46">
        <f t="shared" si="53"/>
        <v>381.39407999999997</v>
      </c>
      <c r="AA113" s="43">
        <v>1</v>
      </c>
      <c r="AB113" s="46">
        <f t="shared" si="54"/>
        <v>381.39407999999997</v>
      </c>
      <c r="AC113" s="43">
        <v>1</v>
      </c>
      <c r="AD113" s="46">
        <f t="shared" si="55"/>
        <v>381.39407999999997</v>
      </c>
      <c r="AE113" s="29"/>
      <c r="AF113">
        <f>273.99*1.2</f>
        <v>328.78800000000001</v>
      </c>
    </row>
    <row r="114" spans="1:32" ht="27" customHeight="1" x14ac:dyDescent="0.2">
      <c r="A114" s="24"/>
      <c r="B114" s="38"/>
      <c r="C114" s="51" t="s">
        <v>150</v>
      </c>
      <c r="D114" s="52">
        <f t="shared" si="42"/>
        <v>24</v>
      </c>
      <c r="E114" s="62" t="s">
        <v>39</v>
      </c>
      <c r="F114" s="42">
        <f t="shared" si="43"/>
        <v>280.62720000000007</v>
      </c>
      <c r="G114" s="43">
        <v>2</v>
      </c>
      <c r="H114" s="46">
        <f t="shared" si="44"/>
        <v>23.3856</v>
      </c>
      <c r="I114" s="43">
        <v>2</v>
      </c>
      <c r="J114" s="46">
        <f t="shared" si="45"/>
        <v>23.3856</v>
      </c>
      <c r="K114" s="43">
        <v>2</v>
      </c>
      <c r="L114" s="46">
        <f t="shared" si="46"/>
        <v>23.3856</v>
      </c>
      <c r="M114" s="43">
        <v>2</v>
      </c>
      <c r="N114" s="46">
        <f t="shared" si="47"/>
        <v>23.3856</v>
      </c>
      <c r="O114" s="43">
        <v>2</v>
      </c>
      <c r="P114" s="46">
        <f t="shared" si="48"/>
        <v>23.3856</v>
      </c>
      <c r="Q114" s="43">
        <v>2</v>
      </c>
      <c r="R114" s="46">
        <f t="shared" si="49"/>
        <v>23.3856</v>
      </c>
      <c r="S114" s="43">
        <v>2</v>
      </c>
      <c r="T114" s="46">
        <f t="shared" si="50"/>
        <v>23.3856</v>
      </c>
      <c r="U114" s="43">
        <v>2</v>
      </c>
      <c r="V114" s="46">
        <f t="shared" si="51"/>
        <v>23.3856</v>
      </c>
      <c r="W114" s="43">
        <v>2</v>
      </c>
      <c r="X114" s="46">
        <f t="shared" si="52"/>
        <v>23.3856</v>
      </c>
      <c r="Y114" s="43">
        <v>2</v>
      </c>
      <c r="Z114" s="46">
        <f t="shared" si="53"/>
        <v>23.3856</v>
      </c>
      <c r="AA114" s="43">
        <v>2</v>
      </c>
      <c r="AB114" s="46">
        <f t="shared" si="54"/>
        <v>23.3856</v>
      </c>
      <c r="AC114" s="43">
        <v>2</v>
      </c>
      <c r="AD114" s="46">
        <f t="shared" si="55"/>
        <v>23.3856</v>
      </c>
      <c r="AE114" s="29"/>
      <c r="AF114">
        <f>8.4*1.2</f>
        <v>10.08</v>
      </c>
    </row>
    <row r="115" spans="1:32" ht="27" customHeight="1" x14ac:dyDescent="0.2">
      <c r="A115" s="24"/>
      <c r="B115" s="38"/>
      <c r="C115" s="51" t="s">
        <v>151</v>
      </c>
      <c r="D115" s="52">
        <f t="shared" si="42"/>
        <v>240</v>
      </c>
      <c r="E115" s="62" t="s">
        <v>39</v>
      </c>
      <c r="F115" s="42">
        <f t="shared" si="43"/>
        <v>6354.2015999999967</v>
      </c>
      <c r="G115" s="43">
        <v>20</v>
      </c>
      <c r="H115" s="46">
        <f t="shared" si="44"/>
        <v>529.51679999999988</v>
      </c>
      <c r="I115" s="43">
        <v>20</v>
      </c>
      <c r="J115" s="46">
        <f t="shared" si="45"/>
        <v>529.51679999999988</v>
      </c>
      <c r="K115" s="43">
        <v>20</v>
      </c>
      <c r="L115" s="46">
        <f t="shared" si="46"/>
        <v>529.51679999999988</v>
      </c>
      <c r="M115" s="43">
        <v>20</v>
      </c>
      <c r="N115" s="46">
        <f t="shared" si="47"/>
        <v>529.51679999999988</v>
      </c>
      <c r="O115" s="43">
        <v>20</v>
      </c>
      <c r="P115" s="46">
        <f t="shared" si="48"/>
        <v>529.51679999999988</v>
      </c>
      <c r="Q115" s="43">
        <v>20</v>
      </c>
      <c r="R115" s="46">
        <f t="shared" si="49"/>
        <v>529.51679999999988</v>
      </c>
      <c r="S115" s="43">
        <v>20</v>
      </c>
      <c r="T115" s="46">
        <f t="shared" si="50"/>
        <v>529.51679999999988</v>
      </c>
      <c r="U115" s="43">
        <v>20</v>
      </c>
      <c r="V115" s="46">
        <f t="shared" si="51"/>
        <v>529.51679999999988</v>
      </c>
      <c r="W115" s="43">
        <v>20</v>
      </c>
      <c r="X115" s="46">
        <f t="shared" si="52"/>
        <v>529.51679999999988</v>
      </c>
      <c r="Y115" s="43">
        <v>20</v>
      </c>
      <c r="Z115" s="46">
        <f t="shared" si="53"/>
        <v>529.51679999999988</v>
      </c>
      <c r="AA115" s="43">
        <v>20</v>
      </c>
      <c r="AB115" s="46">
        <f t="shared" si="54"/>
        <v>529.51679999999988</v>
      </c>
      <c r="AC115" s="43">
        <v>20</v>
      </c>
      <c r="AD115" s="46">
        <f t="shared" si="55"/>
        <v>529.51679999999988</v>
      </c>
      <c r="AE115" s="29"/>
      <c r="AF115">
        <f>19.02*1.2</f>
        <v>22.823999999999998</v>
      </c>
    </row>
    <row r="116" spans="1:32" ht="27" customHeight="1" x14ac:dyDescent="0.2">
      <c r="A116" s="24"/>
      <c r="B116" s="38"/>
      <c r="C116" s="51" t="s">
        <v>152</v>
      </c>
      <c r="D116" s="52">
        <f t="shared" si="42"/>
        <v>360</v>
      </c>
      <c r="E116" s="62" t="s">
        <v>39</v>
      </c>
      <c r="F116" s="42">
        <f t="shared" si="43"/>
        <v>10152.691199999999</v>
      </c>
      <c r="G116" s="43">
        <v>30</v>
      </c>
      <c r="H116" s="46">
        <f t="shared" si="44"/>
        <v>846.05759999999998</v>
      </c>
      <c r="I116" s="43">
        <v>30</v>
      </c>
      <c r="J116" s="46">
        <f t="shared" si="45"/>
        <v>846.05759999999998</v>
      </c>
      <c r="K116" s="43">
        <v>30</v>
      </c>
      <c r="L116" s="46">
        <f t="shared" si="46"/>
        <v>846.05759999999998</v>
      </c>
      <c r="M116" s="43">
        <v>30</v>
      </c>
      <c r="N116" s="46">
        <f t="shared" si="47"/>
        <v>846.05759999999998</v>
      </c>
      <c r="O116" s="43">
        <v>30</v>
      </c>
      <c r="P116" s="46">
        <f t="shared" si="48"/>
        <v>846.05759999999998</v>
      </c>
      <c r="Q116" s="43">
        <v>30</v>
      </c>
      <c r="R116" s="46">
        <f t="shared" si="49"/>
        <v>846.05759999999998</v>
      </c>
      <c r="S116" s="43">
        <v>30</v>
      </c>
      <c r="T116" s="46">
        <f t="shared" si="50"/>
        <v>846.05759999999998</v>
      </c>
      <c r="U116" s="43">
        <v>30</v>
      </c>
      <c r="V116" s="46">
        <f t="shared" si="51"/>
        <v>846.05759999999998</v>
      </c>
      <c r="W116" s="43">
        <v>30</v>
      </c>
      <c r="X116" s="46">
        <f t="shared" si="52"/>
        <v>846.05759999999998</v>
      </c>
      <c r="Y116" s="43">
        <v>30</v>
      </c>
      <c r="Z116" s="46">
        <f t="shared" si="53"/>
        <v>846.05759999999998</v>
      </c>
      <c r="AA116" s="43">
        <v>30</v>
      </c>
      <c r="AB116" s="46">
        <f t="shared" si="54"/>
        <v>846.05759999999998</v>
      </c>
      <c r="AC116" s="43">
        <v>30</v>
      </c>
      <c r="AD116" s="46">
        <f t="shared" si="55"/>
        <v>846.05759999999998</v>
      </c>
      <c r="AE116" s="29"/>
      <c r="AF116">
        <f>20.26*1.2</f>
        <v>24.312000000000001</v>
      </c>
    </row>
    <row r="117" spans="1:32" ht="27" customHeight="1" x14ac:dyDescent="0.2">
      <c r="A117" s="24"/>
      <c r="B117" s="38"/>
      <c r="C117" s="51" t="s">
        <v>153</v>
      </c>
      <c r="D117" s="52">
        <f t="shared" si="42"/>
        <v>18</v>
      </c>
      <c r="E117" s="62" t="s">
        <v>39</v>
      </c>
      <c r="F117" s="42">
        <f t="shared" si="43"/>
        <v>589.81823999999983</v>
      </c>
      <c r="G117" s="43">
        <v>2</v>
      </c>
      <c r="H117" s="46">
        <f t="shared" si="44"/>
        <v>65.535359999999983</v>
      </c>
      <c r="I117" s="43">
        <v>1</v>
      </c>
      <c r="J117" s="46">
        <f t="shared" si="45"/>
        <v>32.767679999999991</v>
      </c>
      <c r="K117" s="43">
        <v>2</v>
      </c>
      <c r="L117" s="46">
        <f t="shared" si="46"/>
        <v>65.535359999999983</v>
      </c>
      <c r="M117" s="43">
        <v>1</v>
      </c>
      <c r="N117" s="46">
        <f t="shared" si="47"/>
        <v>32.767679999999991</v>
      </c>
      <c r="O117" s="43">
        <v>2</v>
      </c>
      <c r="P117" s="46">
        <f t="shared" si="48"/>
        <v>65.535359999999983</v>
      </c>
      <c r="Q117" s="43">
        <v>1</v>
      </c>
      <c r="R117" s="46">
        <f t="shared" si="49"/>
        <v>32.767679999999991</v>
      </c>
      <c r="S117" s="43">
        <v>2</v>
      </c>
      <c r="T117" s="46">
        <f t="shared" si="50"/>
        <v>65.535359999999983</v>
      </c>
      <c r="U117" s="43">
        <v>1</v>
      </c>
      <c r="V117" s="46">
        <f t="shared" si="51"/>
        <v>32.767679999999991</v>
      </c>
      <c r="W117" s="43">
        <v>2</v>
      </c>
      <c r="X117" s="46">
        <f t="shared" si="52"/>
        <v>65.535359999999983</v>
      </c>
      <c r="Y117" s="43">
        <v>1</v>
      </c>
      <c r="Z117" s="46">
        <f t="shared" si="53"/>
        <v>32.767679999999991</v>
      </c>
      <c r="AA117" s="43">
        <v>2</v>
      </c>
      <c r="AB117" s="46">
        <f t="shared" si="54"/>
        <v>65.535359999999983</v>
      </c>
      <c r="AC117" s="43">
        <v>1</v>
      </c>
      <c r="AD117" s="46">
        <f t="shared" si="55"/>
        <v>32.767679999999991</v>
      </c>
      <c r="AE117" s="29"/>
      <c r="AF117">
        <f>23.54*1.2</f>
        <v>28.247999999999998</v>
      </c>
    </row>
    <row r="118" spans="1:32" ht="27" customHeight="1" x14ac:dyDescent="0.2">
      <c r="A118" s="24"/>
      <c r="B118" s="38"/>
      <c r="C118" s="51" t="s">
        <v>154</v>
      </c>
      <c r="D118" s="52">
        <f t="shared" si="42"/>
        <v>60</v>
      </c>
      <c r="E118" s="62" t="s">
        <v>39</v>
      </c>
      <c r="F118" s="42">
        <f t="shared" si="43"/>
        <v>1024.7903999999996</v>
      </c>
      <c r="G118" s="43">
        <v>5</v>
      </c>
      <c r="H118" s="46">
        <f t="shared" si="44"/>
        <v>85.399199999999979</v>
      </c>
      <c r="I118" s="43">
        <v>5</v>
      </c>
      <c r="J118" s="46">
        <f t="shared" si="45"/>
        <v>85.399199999999979</v>
      </c>
      <c r="K118" s="43">
        <v>5</v>
      </c>
      <c r="L118" s="46">
        <f t="shared" si="46"/>
        <v>85.399199999999979</v>
      </c>
      <c r="M118" s="43">
        <v>5</v>
      </c>
      <c r="N118" s="46">
        <f t="shared" si="47"/>
        <v>85.399199999999979</v>
      </c>
      <c r="O118" s="43">
        <v>5</v>
      </c>
      <c r="P118" s="46">
        <f t="shared" si="48"/>
        <v>85.399199999999979</v>
      </c>
      <c r="Q118" s="43">
        <v>5</v>
      </c>
      <c r="R118" s="46">
        <f t="shared" si="49"/>
        <v>85.399199999999979</v>
      </c>
      <c r="S118" s="43">
        <v>5</v>
      </c>
      <c r="T118" s="46">
        <f t="shared" si="50"/>
        <v>85.399199999999979</v>
      </c>
      <c r="U118" s="43">
        <v>5</v>
      </c>
      <c r="V118" s="46">
        <f t="shared" si="51"/>
        <v>85.399199999999979</v>
      </c>
      <c r="W118" s="43">
        <v>5</v>
      </c>
      <c r="X118" s="46">
        <f t="shared" si="52"/>
        <v>85.399199999999979</v>
      </c>
      <c r="Y118" s="43">
        <v>5</v>
      </c>
      <c r="Z118" s="46">
        <f t="shared" si="53"/>
        <v>85.399199999999979</v>
      </c>
      <c r="AA118" s="43">
        <v>5</v>
      </c>
      <c r="AB118" s="46">
        <f t="shared" si="54"/>
        <v>85.399199999999979</v>
      </c>
      <c r="AC118" s="43">
        <v>5</v>
      </c>
      <c r="AD118" s="46">
        <f t="shared" si="55"/>
        <v>85.399199999999979</v>
      </c>
      <c r="AE118" s="29"/>
      <c r="AF118">
        <f>12.27*1.2</f>
        <v>14.723999999999998</v>
      </c>
    </row>
    <row r="119" spans="1:32" ht="27" customHeight="1" x14ac:dyDescent="0.2">
      <c r="A119" s="24"/>
      <c r="B119" s="38"/>
      <c r="C119" s="51" t="s">
        <v>155</v>
      </c>
      <c r="D119" s="52">
        <f t="shared" si="42"/>
        <v>36</v>
      </c>
      <c r="E119" s="62" t="s">
        <v>39</v>
      </c>
      <c r="F119" s="42">
        <f t="shared" si="43"/>
        <v>678.51648000000012</v>
      </c>
      <c r="G119" s="43">
        <v>3</v>
      </c>
      <c r="H119" s="46">
        <f t="shared" si="44"/>
        <v>56.543039999999991</v>
      </c>
      <c r="I119" s="43">
        <v>3</v>
      </c>
      <c r="J119" s="46">
        <f t="shared" si="45"/>
        <v>56.543039999999991</v>
      </c>
      <c r="K119" s="43">
        <v>3</v>
      </c>
      <c r="L119" s="46">
        <f t="shared" si="46"/>
        <v>56.543039999999991</v>
      </c>
      <c r="M119" s="43">
        <v>3</v>
      </c>
      <c r="N119" s="46">
        <f t="shared" si="47"/>
        <v>56.543039999999991</v>
      </c>
      <c r="O119" s="43">
        <v>3</v>
      </c>
      <c r="P119" s="46">
        <f t="shared" si="48"/>
        <v>56.543039999999991</v>
      </c>
      <c r="Q119" s="43">
        <v>3</v>
      </c>
      <c r="R119" s="46">
        <f t="shared" si="49"/>
        <v>56.543039999999991</v>
      </c>
      <c r="S119" s="43">
        <v>3</v>
      </c>
      <c r="T119" s="46">
        <f t="shared" si="50"/>
        <v>56.543039999999991</v>
      </c>
      <c r="U119" s="43">
        <v>3</v>
      </c>
      <c r="V119" s="46">
        <f t="shared" si="51"/>
        <v>56.543039999999991</v>
      </c>
      <c r="W119" s="43">
        <v>3</v>
      </c>
      <c r="X119" s="46">
        <f t="shared" si="52"/>
        <v>56.543039999999991</v>
      </c>
      <c r="Y119" s="43">
        <v>3</v>
      </c>
      <c r="Z119" s="46">
        <f t="shared" si="53"/>
        <v>56.543039999999991</v>
      </c>
      <c r="AA119" s="43">
        <v>3</v>
      </c>
      <c r="AB119" s="46">
        <f t="shared" si="54"/>
        <v>56.543039999999991</v>
      </c>
      <c r="AC119" s="43">
        <v>3</v>
      </c>
      <c r="AD119" s="46">
        <f t="shared" si="55"/>
        <v>56.543039999999991</v>
      </c>
      <c r="AE119" s="29"/>
      <c r="AF119">
        <f>13.54*1.2</f>
        <v>16.247999999999998</v>
      </c>
    </row>
    <row r="120" spans="1:32" ht="27" customHeight="1" x14ac:dyDescent="0.2">
      <c r="A120" s="24"/>
      <c r="B120" s="38"/>
      <c r="C120" s="51" t="s">
        <v>156</v>
      </c>
      <c r="D120" s="52">
        <f t="shared" si="42"/>
        <v>144</v>
      </c>
      <c r="E120" s="62" t="s">
        <v>46</v>
      </c>
      <c r="F120" s="42">
        <f t="shared" si="43"/>
        <v>54439.672320000005</v>
      </c>
      <c r="G120" s="43">
        <v>12</v>
      </c>
      <c r="H120" s="46">
        <f t="shared" si="44"/>
        <v>4536.6393599999992</v>
      </c>
      <c r="I120" s="43">
        <v>12</v>
      </c>
      <c r="J120" s="46">
        <f t="shared" si="45"/>
        <v>4536.6393599999992</v>
      </c>
      <c r="K120" s="43">
        <v>12</v>
      </c>
      <c r="L120" s="46">
        <f t="shared" si="46"/>
        <v>4536.6393599999992</v>
      </c>
      <c r="M120" s="43">
        <v>12</v>
      </c>
      <c r="N120" s="46">
        <f t="shared" si="47"/>
        <v>4536.6393599999992</v>
      </c>
      <c r="O120" s="43">
        <v>12</v>
      </c>
      <c r="P120" s="46">
        <f t="shared" si="48"/>
        <v>4536.6393599999992</v>
      </c>
      <c r="Q120" s="43">
        <v>12</v>
      </c>
      <c r="R120" s="46">
        <f t="shared" si="49"/>
        <v>4536.6393599999992</v>
      </c>
      <c r="S120" s="43">
        <v>12</v>
      </c>
      <c r="T120" s="46">
        <f t="shared" si="50"/>
        <v>4536.6393599999992</v>
      </c>
      <c r="U120" s="43">
        <v>12</v>
      </c>
      <c r="V120" s="46">
        <f t="shared" si="51"/>
        <v>4536.6393599999992</v>
      </c>
      <c r="W120" s="43">
        <v>12</v>
      </c>
      <c r="X120" s="46">
        <f t="shared" si="52"/>
        <v>4536.6393599999992</v>
      </c>
      <c r="Y120" s="43">
        <v>12</v>
      </c>
      <c r="Z120" s="46">
        <f t="shared" si="53"/>
        <v>4536.6393599999992</v>
      </c>
      <c r="AA120" s="43">
        <v>12</v>
      </c>
      <c r="AB120" s="46">
        <f t="shared" si="54"/>
        <v>4536.6393599999992</v>
      </c>
      <c r="AC120" s="43">
        <v>12</v>
      </c>
      <c r="AD120" s="46">
        <f t="shared" si="55"/>
        <v>4536.6393599999992</v>
      </c>
      <c r="AE120" s="29"/>
      <c r="AF120">
        <f>271.59*1.2</f>
        <v>325.90799999999996</v>
      </c>
    </row>
    <row r="121" spans="1:32" ht="27" customHeight="1" x14ac:dyDescent="0.2">
      <c r="A121" s="24"/>
      <c r="B121" s="38"/>
      <c r="C121" s="51" t="s">
        <v>157</v>
      </c>
      <c r="D121" s="52">
        <f t="shared" si="42"/>
        <v>360</v>
      </c>
      <c r="E121" s="62" t="s">
        <v>39</v>
      </c>
      <c r="F121" s="42">
        <f t="shared" si="43"/>
        <v>3457.7279999999987</v>
      </c>
      <c r="G121" s="43">
        <v>30</v>
      </c>
      <c r="H121" s="46">
        <f t="shared" si="44"/>
        <v>288.14399999999995</v>
      </c>
      <c r="I121" s="43">
        <v>30</v>
      </c>
      <c r="J121" s="46">
        <f t="shared" si="45"/>
        <v>288.14399999999995</v>
      </c>
      <c r="K121" s="43">
        <v>30</v>
      </c>
      <c r="L121" s="46">
        <f t="shared" si="46"/>
        <v>288.14399999999995</v>
      </c>
      <c r="M121" s="43">
        <v>30</v>
      </c>
      <c r="N121" s="46">
        <f t="shared" si="47"/>
        <v>288.14399999999995</v>
      </c>
      <c r="O121" s="43">
        <v>30</v>
      </c>
      <c r="P121" s="46">
        <f t="shared" si="48"/>
        <v>288.14399999999995</v>
      </c>
      <c r="Q121" s="43">
        <v>30</v>
      </c>
      <c r="R121" s="46">
        <f t="shared" si="49"/>
        <v>288.14399999999995</v>
      </c>
      <c r="S121" s="43">
        <v>30</v>
      </c>
      <c r="T121" s="46">
        <f t="shared" si="50"/>
        <v>288.14399999999995</v>
      </c>
      <c r="U121" s="43">
        <v>30</v>
      </c>
      <c r="V121" s="46">
        <f t="shared" si="51"/>
        <v>288.14399999999995</v>
      </c>
      <c r="W121" s="43">
        <v>30</v>
      </c>
      <c r="X121" s="46">
        <f t="shared" si="52"/>
        <v>288.14399999999995</v>
      </c>
      <c r="Y121" s="43">
        <v>30</v>
      </c>
      <c r="Z121" s="46">
        <f t="shared" si="53"/>
        <v>288.14399999999995</v>
      </c>
      <c r="AA121" s="43">
        <v>30</v>
      </c>
      <c r="AB121" s="46">
        <f t="shared" si="54"/>
        <v>288.14399999999995</v>
      </c>
      <c r="AC121" s="43">
        <v>30</v>
      </c>
      <c r="AD121" s="46">
        <f t="shared" si="55"/>
        <v>288.14399999999995</v>
      </c>
      <c r="AE121" s="29"/>
      <c r="AF121">
        <f>6.9*1.2</f>
        <v>8.2799999999999994</v>
      </c>
    </row>
    <row r="122" spans="1:32" ht="27" customHeight="1" x14ac:dyDescent="0.2">
      <c r="A122" s="24"/>
      <c r="B122" s="38"/>
      <c r="C122" s="51" t="s">
        <v>158</v>
      </c>
      <c r="D122" s="52">
        <f t="shared" si="42"/>
        <v>24</v>
      </c>
      <c r="E122" s="62" t="s">
        <v>39</v>
      </c>
      <c r="F122" s="42">
        <f t="shared" si="43"/>
        <v>378.84671999999995</v>
      </c>
      <c r="G122" s="43">
        <v>2</v>
      </c>
      <c r="H122" s="46">
        <f t="shared" si="44"/>
        <v>31.570559999999993</v>
      </c>
      <c r="I122" s="43">
        <v>2</v>
      </c>
      <c r="J122" s="46">
        <f t="shared" si="45"/>
        <v>31.570559999999993</v>
      </c>
      <c r="K122" s="43">
        <v>2</v>
      </c>
      <c r="L122" s="46">
        <f t="shared" si="46"/>
        <v>31.570559999999993</v>
      </c>
      <c r="M122" s="43">
        <v>2</v>
      </c>
      <c r="N122" s="46">
        <f t="shared" si="47"/>
        <v>31.570559999999993</v>
      </c>
      <c r="O122" s="43">
        <v>2</v>
      </c>
      <c r="P122" s="46">
        <f t="shared" si="48"/>
        <v>31.570559999999993</v>
      </c>
      <c r="Q122" s="43">
        <v>2</v>
      </c>
      <c r="R122" s="46">
        <f t="shared" si="49"/>
        <v>31.570559999999993</v>
      </c>
      <c r="S122" s="43">
        <v>2</v>
      </c>
      <c r="T122" s="46">
        <f t="shared" si="50"/>
        <v>31.570559999999993</v>
      </c>
      <c r="U122" s="43">
        <v>2</v>
      </c>
      <c r="V122" s="46">
        <f t="shared" si="51"/>
        <v>31.570559999999993</v>
      </c>
      <c r="W122" s="43">
        <v>2</v>
      </c>
      <c r="X122" s="46">
        <f t="shared" si="52"/>
        <v>31.570559999999993</v>
      </c>
      <c r="Y122" s="43">
        <v>2</v>
      </c>
      <c r="Z122" s="46">
        <f t="shared" si="53"/>
        <v>31.570559999999993</v>
      </c>
      <c r="AA122" s="43">
        <v>2</v>
      </c>
      <c r="AB122" s="46">
        <f t="shared" si="54"/>
        <v>31.570559999999993</v>
      </c>
      <c r="AC122" s="43">
        <v>2</v>
      </c>
      <c r="AD122" s="46">
        <f t="shared" si="55"/>
        <v>31.570559999999993</v>
      </c>
      <c r="AE122" s="29"/>
      <c r="AF122">
        <f>11.34*1.2</f>
        <v>13.607999999999999</v>
      </c>
    </row>
    <row r="123" spans="1:32" ht="27" customHeight="1" x14ac:dyDescent="0.2">
      <c r="A123" s="24"/>
      <c r="B123" s="38"/>
      <c r="C123" s="51" t="s">
        <v>159</v>
      </c>
      <c r="D123" s="52">
        <f t="shared" si="42"/>
        <v>6</v>
      </c>
      <c r="E123" s="62" t="s">
        <v>39</v>
      </c>
      <c r="F123" s="42">
        <f t="shared" si="43"/>
        <v>218.23775999999992</v>
      </c>
      <c r="G123" s="43">
        <v>1</v>
      </c>
      <c r="H123" s="46">
        <f t="shared" si="44"/>
        <v>36.372959999999992</v>
      </c>
      <c r="I123" s="43">
        <v>0</v>
      </c>
      <c r="J123" s="46">
        <f t="shared" si="45"/>
        <v>0</v>
      </c>
      <c r="K123" s="43">
        <v>1</v>
      </c>
      <c r="L123" s="46">
        <f t="shared" si="46"/>
        <v>36.372959999999992</v>
      </c>
      <c r="M123" s="43">
        <v>0</v>
      </c>
      <c r="N123" s="46">
        <f t="shared" si="47"/>
        <v>0</v>
      </c>
      <c r="O123" s="43">
        <v>1</v>
      </c>
      <c r="P123" s="46">
        <f t="shared" si="48"/>
        <v>36.372959999999992</v>
      </c>
      <c r="Q123" s="43">
        <v>0</v>
      </c>
      <c r="R123" s="46">
        <f t="shared" si="49"/>
        <v>0</v>
      </c>
      <c r="S123" s="43">
        <v>1</v>
      </c>
      <c r="T123" s="46">
        <f t="shared" si="50"/>
        <v>36.372959999999992</v>
      </c>
      <c r="U123" s="43">
        <v>0</v>
      </c>
      <c r="V123" s="46">
        <f t="shared" si="51"/>
        <v>0</v>
      </c>
      <c r="W123" s="43">
        <v>1</v>
      </c>
      <c r="X123" s="46">
        <f t="shared" si="52"/>
        <v>36.372959999999992</v>
      </c>
      <c r="Y123" s="43">
        <v>0</v>
      </c>
      <c r="Z123" s="46">
        <f t="shared" si="53"/>
        <v>0</v>
      </c>
      <c r="AA123" s="43">
        <v>1</v>
      </c>
      <c r="AB123" s="46">
        <f t="shared" si="54"/>
        <v>36.372959999999992</v>
      </c>
      <c r="AC123" s="43">
        <v>0</v>
      </c>
      <c r="AD123" s="46">
        <f t="shared" si="55"/>
        <v>0</v>
      </c>
      <c r="AE123" s="29"/>
      <c r="AF123">
        <f>26.13*1.2</f>
        <v>31.355999999999998</v>
      </c>
    </row>
    <row r="124" spans="1:32" ht="27" customHeight="1" x14ac:dyDescent="0.2">
      <c r="A124" s="24"/>
      <c r="B124" s="38"/>
      <c r="C124" s="51" t="s">
        <v>160</v>
      </c>
      <c r="D124" s="52">
        <f t="shared" si="42"/>
        <v>3</v>
      </c>
      <c r="E124" s="62" t="s">
        <v>144</v>
      </c>
      <c r="F124" s="42">
        <f t="shared" si="43"/>
        <v>1440.0100799999998</v>
      </c>
      <c r="G124" s="43">
        <v>0</v>
      </c>
      <c r="H124" s="46">
        <f t="shared" si="44"/>
        <v>0</v>
      </c>
      <c r="I124" s="43">
        <v>0</v>
      </c>
      <c r="J124" s="46">
        <f t="shared" si="45"/>
        <v>0</v>
      </c>
      <c r="K124" s="43">
        <v>1</v>
      </c>
      <c r="L124" s="46">
        <f t="shared" si="46"/>
        <v>480.00335999999993</v>
      </c>
      <c r="M124" s="43">
        <v>0</v>
      </c>
      <c r="N124" s="46">
        <f t="shared" si="47"/>
        <v>0</v>
      </c>
      <c r="O124" s="43">
        <v>0</v>
      </c>
      <c r="P124" s="46">
        <f t="shared" si="48"/>
        <v>0</v>
      </c>
      <c r="Q124" s="43">
        <v>0</v>
      </c>
      <c r="R124" s="46">
        <f t="shared" si="49"/>
        <v>0</v>
      </c>
      <c r="S124" s="43">
        <v>1</v>
      </c>
      <c r="T124" s="46">
        <f t="shared" si="50"/>
        <v>480.00335999999993</v>
      </c>
      <c r="U124" s="43">
        <v>0</v>
      </c>
      <c r="V124" s="46">
        <f t="shared" si="51"/>
        <v>0</v>
      </c>
      <c r="W124" s="43">
        <v>0</v>
      </c>
      <c r="X124" s="46">
        <f t="shared" si="52"/>
        <v>0</v>
      </c>
      <c r="Y124" s="43">
        <v>1</v>
      </c>
      <c r="Z124" s="46">
        <f t="shared" si="53"/>
        <v>480.00335999999993</v>
      </c>
      <c r="AA124" s="43">
        <v>0</v>
      </c>
      <c r="AB124" s="46">
        <f t="shared" si="54"/>
        <v>0</v>
      </c>
      <c r="AC124" s="43">
        <v>0</v>
      </c>
      <c r="AD124" s="46">
        <f t="shared" si="55"/>
        <v>0</v>
      </c>
      <c r="AE124" s="29"/>
      <c r="AF124">
        <f>344.83*1.2</f>
        <v>413.79599999999999</v>
      </c>
    </row>
    <row r="125" spans="1:32" ht="27" customHeight="1" x14ac:dyDescent="0.2">
      <c r="A125" s="24"/>
      <c r="B125" s="38"/>
      <c r="C125" s="51" t="s">
        <v>161</v>
      </c>
      <c r="D125" s="52">
        <f t="shared" si="42"/>
        <v>24</v>
      </c>
      <c r="E125" s="62" t="s">
        <v>46</v>
      </c>
      <c r="F125" s="42">
        <f t="shared" si="43"/>
        <v>9297.1123200000002</v>
      </c>
      <c r="G125" s="43">
        <v>2</v>
      </c>
      <c r="H125" s="46">
        <f t="shared" si="44"/>
        <v>774.75936000000002</v>
      </c>
      <c r="I125" s="43">
        <v>2</v>
      </c>
      <c r="J125" s="46">
        <f t="shared" si="45"/>
        <v>774.75936000000002</v>
      </c>
      <c r="K125" s="43">
        <v>2</v>
      </c>
      <c r="L125" s="46">
        <f t="shared" si="46"/>
        <v>774.75936000000002</v>
      </c>
      <c r="M125" s="43">
        <v>2</v>
      </c>
      <c r="N125" s="46">
        <f t="shared" si="47"/>
        <v>774.75936000000002</v>
      </c>
      <c r="O125" s="43">
        <v>2</v>
      </c>
      <c r="P125" s="46">
        <f t="shared" si="48"/>
        <v>774.75936000000002</v>
      </c>
      <c r="Q125" s="43">
        <v>2</v>
      </c>
      <c r="R125" s="46">
        <f t="shared" si="49"/>
        <v>774.75936000000002</v>
      </c>
      <c r="S125" s="43">
        <v>2</v>
      </c>
      <c r="T125" s="46">
        <f t="shared" si="50"/>
        <v>774.75936000000002</v>
      </c>
      <c r="U125" s="43">
        <v>2</v>
      </c>
      <c r="V125" s="46">
        <f t="shared" si="51"/>
        <v>774.75936000000002</v>
      </c>
      <c r="W125" s="43">
        <v>2</v>
      </c>
      <c r="X125" s="46">
        <f t="shared" si="52"/>
        <v>774.75936000000002</v>
      </c>
      <c r="Y125" s="43">
        <v>2</v>
      </c>
      <c r="Z125" s="46">
        <f t="shared" si="53"/>
        <v>774.75936000000002</v>
      </c>
      <c r="AA125" s="43">
        <v>2</v>
      </c>
      <c r="AB125" s="46">
        <f t="shared" si="54"/>
        <v>774.75936000000002</v>
      </c>
      <c r="AC125" s="43">
        <v>2</v>
      </c>
      <c r="AD125" s="46">
        <f t="shared" si="55"/>
        <v>774.75936000000002</v>
      </c>
      <c r="AE125" s="29"/>
      <c r="AF125">
        <f>278.29*1.2</f>
        <v>333.94800000000004</v>
      </c>
    </row>
    <row r="126" spans="1:32" ht="27" customHeight="1" x14ac:dyDescent="0.2">
      <c r="A126" s="24"/>
      <c r="B126" s="38"/>
      <c r="C126" s="51" t="s">
        <v>162</v>
      </c>
      <c r="D126" s="52">
        <f t="shared" si="42"/>
        <v>6</v>
      </c>
      <c r="E126" s="62" t="s">
        <v>46</v>
      </c>
      <c r="F126" s="42">
        <f t="shared" si="43"/>
        <v>1487.0736000000002</v>
      </c>
      <c r="G126" s="43">
        <v>1</v>
      </c>
      <c r="H126" s="46">
        <f t="shared" si="44"/>
        <v>247.84559999999999</v>
      </c>
      <c r="I126" s="43">
        <v>0</v>
      </c>
      <c r="J126" s="46">
        <f t="shared" si="45"/>
        <v>0</v>
      </c>
      <c r="K126" s="43">
        <v>1</v>
      </c>
      <c r="L126" s="46">
        <f t="shared" si="46"/>
        <v>247.84559999999999</v>
      </c>
      <c r="M126" s="43">
        <v>0</v>
      </c>
      <c r="N126" s="46">
        <f t="shared" si="47"/>
        <v>0</v>
      </c>
      <c r="O126" s="43">
        <v>1</v>
      </c>
      <c r="P126" s="46">
        <f t="shared" si="48"/>
        <v>247.84559999999999</v>
      </c>
      <c r="Q126" s="43">
        <v>0</v>
      </c>
      <c r="R126" s="46">
        <f t="shared" si="49"/>
        <v>0</v>
      </c>
      <c r="S126" s="43">
        <v>1</v>
      </c>
      <c r="T126" s="46">
        <f t="shared" si="50"/>
        <v>247.84559999999999</v>
      </c>
      <c r="U126" s="43">
        <v>0</v>
      </c>
      <c r="V126" s="46">
        <f t="shared" si="51"/>
        <v>0</v>
      </c>
      <c r="W126" s="43">
        <v>1</v>
      </c>
      <c r="X126" s="46">
        <f t="shared" si="52"/>
        <v>247.84559999999999</v>
      </c>
      <c r="Y126" s="43">
        <v>0</v>
      </c>
      <c r="Z126" s="46">
        <f t="shared" si="53"/>
        <v>0</v>
      </c>
      <c r="AA126" s="43">
        <v>1</v>
      </c>
      <c r="AB126" s="46">
        <f t="shared" si="54"/>
        <v>247.84559999999999</v>
      </c>
      <c r="AC126" s="43">
        <v>0</v>
      </c>
      <c r="AD126" s="46">
        <f t="shared" si="55"/>
        <v>0</v>
      </c>
      <c r="AE126" s="29"/>
      <c r="AF126">
        <f>178.05*1.2</f>
        <v>213.66</v>
      </c>
    </row>
    <row r="127" spans="1:32" ht="16.5" customHeight="1" x14ac:dyDescent="0.2">
      <c r="A127" s="24"/>
      <c r="B127" s="38"/>
      <c r="C127" s="51" t="s">
        <v>163</v>
      </c>
      <c r="D127" s="52">
        <f t="shared" si="42"/>
        <v>48</v>
      </c>
      <c r="E127" s="62" t="s">
        <v>39</v>
      </c>
      <c r="F127" s="42">
        <f t="shared" si="43"/>
        <v>2339.8963199999998</v>
      </c>
      <c r="G127" s="43">
        <v>4</v>
      </c>
      <c r="H127" s="46">
        <f t="shared" si="44"/>
        <v>194.99135999999999</v>
      </c>
      <c r="I127" s="43">
        <v>4</v>
      </c>
      <c r="J127" s="46">
        <f t="shared" si="45"/>
        <v>194.99135999999999</v>
      </c>
      <c r="K127" s="43">
        <v>4</v>
      </c>
      <c r="L127" s="46">
        <f t="shared" si="46"/>
        <v>194.99135999999999</v>
      </c>
      <c r="M127" s="43">
        <v>4</v>
      </c>
      <c r="N127" s="46">
        <f t="shared" si="47"/>
        <v>194.99135999999999</v>
      </c>
      <c r="O127" s="43">
        <v>4</v>
      </c>
      <c r="P127" s="46">
        <f t="shared" si="48"/>
        <v>194.99135999999999</v>
      </c>
      <c r="Q127" s="43">
        <v>4</v>
      </c>
      <c r="R127" s="46">
        <f t="shared" si="49"/>
        <v>194.99135999999999</v>
      </c>
      <c r="S127" s="43">
        <v>4</v>
      </c>
      <c r="T127" s="46">
        <f t="shared" si="50"/>
        <v>194.99135999999999</v>
      </c>
      <c r="U127" s="43">
        <v>4</v>
      </c>
      <c r="V127" s="46">
        <f t="shared" si="51"/>
        <v>194.99135999999999</v>
      </c>
      <c r="W127" s="43">
        <v>4</v>
      </c>
      <c r="X127" s="46">
        <f t="shared" si="52"/>
        <v>194.99135999999999</v>
      </c>
      <c r="Y127" s="43">
        <v>4</v>
      </c>
      <c r="Z127" s="46">
        <f t="shared" si="53"/>
        <v>194.99135999999999</v>
      </c>
      <c r="AA127" s="43">
        <v>4</v>
      </c>
      <c r="AB127" s="46">
        <f t="shared" si="54"/>
        <v>194.99135999999999</v>
      </c>
      <c r="AC127" s="43">
        <v>4</v>
      </c>
      <c r="AD127" s="46">
        <f t="shared" si="55"/>
        <v>194.99135999999999</v>
      </c>
      <c r="AE127" s="29"/>
      <c r="AF127">
        <f>35.02*1.2</f>
        <v>42.024000000000001</v>
      </c>
    </row>
    <row r="128" spans="1:32" ht="24" x14ac:dyDescent="0.2">
      <c r="A128" s="24"/>
      <c r="B128" s="35">
        <v>218</v>
      </c>
      <c r="C128" s="31" t="s">
        <v>164</v>
      </c>
      <c r="D128" s="57"/>
      <c r="E128" s="30"/>
      <c r="F128" s="36">
        <f>F129</f>
        <v>6434.5199999999986</v>
      </c>
      <c r="G128" s="61" t="s">
        <v>123</v>
      </c>
      <c r="H128" s="34">
        <f>H129</f>
        <v>2144.8399999999997</v>
      </c>
      <c r="I128" s="34"/>
      <c r="J128" s="34">
        <f>J129</f>
        <v>4289.6799999999994</v>
      </c>
      <c r="K128" s="34"/>
      <c r="L128" s="34">
        <f>L129</f>
        <v>0</v>
      </c>
      <c r="M128" s="34"/>
      <c r="N128" s="34">
        <f>N129</f>
        <v>0</v>
      </c>
      <c r="O128" s="34"/>
      <c r="P128" s="34">
        <f>P129</f>
        <v>0</v>
      </c>
      <c r="Q128" s="34"/>
      <c r="R128" s="34">
        <f>R129</f>
        <v>0</v>
      </c>
      <c r="S128" s="34"/>
      <c r="T128" s="34">
        <f>T129</f>
        <v>0</v>
      </c>
      <c r="U128" s="34"/>
      <c r="V128" s="34">
        <f>V129</f>
        <v>0</v>
      </c>
      <c r="W128" s="34"/>
      <c r="X128" s="34">
        <f>X129</f>
        <v>0</v>
      </c>
      <c r="Y128" s="34"/>
      <c r="Z128" s="34">
        <f>Z129</f>
        <v>0</v>
      </c>
      <c r="AA128" s="34"/>
      <c r="AB128" s="34">
        <f>AB129</f>
        <v>0</v>
      </c>
      <c r="AC128" s="34"/>
      <c r="AD128" s="34">
        <f>AD129</f>
        <v>0</v>
      </c>
      <c r="AE128" s="29"/>
    </row>
    <row r="129" spans="1:32" ht="24" x14ac:dyDescent="0.2">
      <c r="A129" s="24"/>
      <c r="B129" s="35"/>
      <c r="C129" s="51" t="s">
        <v>165</v>
      </c>
      <c r="D129" s="52">
        <f>G129+I129+K129+M129+O129+Q129+S129+U129+W129+Y129+AA129+AC129</f>
        <v>3</v>
      </c>
      <c r="E129" s="41" t="s">
        <v>39</v>
      </c>
      <c r="F129" s="42">
        <f>SUM(H129,J129,L129,N129,P129,R129,T129,V129,X129,Z129,AB129,AD129)</f>
        <v>6434.5199999999986</v>
      </c>
      <c r="G129" s="53">
        <v>1</v>
      </c>
      <c r="H129" s="46">
        <f>(G129*AF129)*1.16</f>
        <v>2144.8399999999997</v>
      </c>
      <c r="I129" s="53">
        <v>2</v>
      </c>
      <c r="J129" s="46">
        <f>(I129*AF129)*1.16</f>
        <v>4289.6799999999994</v>
      </c>
      <c r="K129" s="53">
        <v>0</v>
      </c>
      <c r="L129" s="46">
        <f>(K129*AF129)*1.16</f>
        <v>0</v>
      </c>
      <c r="M129" s="53">
        <v>0</v>
      </c>
      <c r="N129" s="46">
        <f>(M129*AF129)*1.16</f>
        <v>0</v>
      </c>
      <c r="O129" s="53">
        <v>0</v>
      </c>
      <c r="P129" s="46">
        <f>(O129*AF129)*1.16</f>
        <v>0</v>
      </c>
      <c r="Q129" s="53">
        <v>0</v>
      </c>
      <c r="R129" s="46">
        <f>(Q129*AF129)*1.16</f>
        <v>0</v>
      </c>
      <c r="S129" s="53">
        <v>0</v>
      </c>
      <c r="T129" s="46">
        <f>(S129*AF129)*1.16</f>
        <v>0</v>
      </c>
      <c r="U129" s="53">
        <v>0</v>
      </c>
      <c r="V129" s="46">
        <f>(U129*AF129)*1.16</f>
        <v>0</v>
      </c>
      <c r="W129" s="53">
        <v>0</v>
      </c>
      <c r="X129" s="46">
        <f>(W129*AF129)*1.16</f>
        <v>0</v>
      </c>
      <c r="Y129" s="53">
        <v>0</v>
      </c>
      <c r="Z129" s="46">
        <f>(Y129*AF129)*1.16</f>
        <v>0</v>
      </c>
      <c r="AA129" s="53">
        <v>0</v>
      </c>
      <c r="AB129" s="46">
        <f>(AA129*AF129)*1.16</f>
        <v>0</v>
      </c>
      <c r="AC129" s="53">
        <v>0</v>
      </c>
      <c r="AD129" s="46">
        <f>(AC129*AF129)*1.16</f>
        <v>0</v>
      </c>
      <c r="AE129" s="29"/>
      <c r="AF129">
        <v>1849</v>
      </c>
    </row>
    <row r="130" spans="1:32" ht="11.25" customHeight="1" x14ac:dyDescent="0.2">
      <c r="A130" s="24"/>
      <c r="B130" s="30">
        <v>2200</v>
      </c>
      <c r="C130" s="64" t="s">
        <v>166</v>
      </c>
      <c r="D130" s="57"/>
      <c r="E130" s="65"/>
      <c r="F130" s="34">
        <f>SUM(F131)</f>
        <v>87528</v>
      </c>
      <c r="G130" s="61"/>
      <c r="H130" s="34">
        <f>SUM(H131)</f>
        <v>7294</v>
      </c>
      <c r="I130" s="61" t="s">
        <v>123</v>
      </c>
      <c r="J130" s="34">
        <f>SUM(J131)</f>
        <v>7294</v>
      </c>
      <c r="K130" s="61"/>
      <c r="L130" s="34">
        <f>SUM(L131)</f>
        <v>7294</v>
      </c>
      <c r="M130" s="61" t="s">
        <v>123</v>
      </c>
      <c r="N130" s="34">
        <f>SUM(N131)</f>
        <v>7294</v>
      </c>
      <c r="O130" s="61" t="s">
        <v>123</v>
      </c>
      <c r="P130" s="34">
        <f>SUM(P131)</f>
        <v>7294</v>
      </c>
      <c r="Q130" s="61" t="s">
        <v>123</v>
      </c>
      <c r="R130" s="34">
        <f>SUM(R131)</f>
        <v>7294</v>
      </c>
      <c r="S130" s="61" t="s">
        <v>123</v>
      </c>
      <c r="T130" s="34">
        <f>SUM(T131)</f>
        <v>7294</v>
      </c>
      <c r="U130" s="61" t="s">
        <v>123</v>
      </c>
      <c r="V130" s="34">
        <f>SUM(V131)</f>
        <v>7294</v>
      </c>
      <c r="W130" s="61" t="s">
        <v>123</v>
      </c>
      <c r="X130" s="34">
        <f>SUM(X131)</f>
        <v>7294</v>
      </c>
      <c r="Y130" s="61" t="s">
        <v>123</v>
      </c>
      <c r="Z130" s="34">
        <f>SUM(Z131)</f>
        <v>7294</v>
      </c>
      <c r="AA130" s="61" t="s">
        <v>123</v>
      </c>
      <c r="AB130" s="34">
        <f>SUM(AB131)</f>
        <v>7294</v>
      </c>
      <c r="AC130" s="61" t="s">
        <v>123</v>
      </c>
      <c r="AD130" s="56">
        <f>AD131</f>
        <v>7294</v>
      </c>
      <c r="AE130" s="29"/>
    </row>
    <row r="131" spans="1:32" ht="13.5" customHeight="1" x14ac:dyDescent="0.2">
      <c r="A131" s="24"/>
      <c r="B131" s="35">
        <v>221</v>
      </c>
      <c r="C131" s="31" t="s">
        <v>167</v>
      </c>
      <c r="D131" s="52"/>
      <c r="E131" s="30"/>
      <c r="F131" s="36">
        <f>F132+F134+F133</f>
        <v>87528</v>
      </c>
      <c r="G131" s="55"/>
      <c r="H131" s="36">
        <f>H132+H134+H133</f>
        <v>7294</v>
      </c>
      <c r="I131" s="36"/>
      <c r="J131" s="36">
        <f>J132+J134+J133</f>
        <v>7294</v>
      </c>
      <c r="K131" s="36"/>
      <c r="L131" s="36">
        <f>L132+L134+L133</f>
        <v>7294</v>
      </c>
      <c r="M131" s="36"/>
      <c r="N131" s="36">
        <f>N132+N134+N133</f>
        <v>7294</v>
      </c>
      <c r="O131" s="36"/>
      <c r="P131" s="36">
        <f>P132+P134+P133</f>
        <v>7294</v>
      </c>
      <c r="Q131" s="56"/>
      <c r="R131" s="36">
        <f>R132+R133+R134</f>
        <v>7294</v>
      </c>
      <c r="S131" s="56"/>
      <c r="T131" s="36">
        <f>T132+T134+T133</f>
        <v>7294</v>
      </c>
      <c r="U131" s="56"/>
      <c r="V131" s="36">
        <f>V132+V134+V133</f>
        <v>7294</v>
      </c>
      <c r="W131" s="56"/>
      <c r="X131" s="36">
        <f>X132+X134+X133</f>
        <v>7294</v>
      </c>
      <c r="Y131" s="56"/>
      <c r="Z131" s="36">
        <f>Z132+Z134+Z133</f>
        <v>7294</v>
      </c>
      <c r="AA131" s="56"/>
      <c r="AB131" s="36">
        <f>AB132+AB134+AB133</f>
        <v>7294</v>
      </c>
      <c r="AC131" s="56"/>
      <c r="AD131" s="36">
        <f>AD132+AD134+AD133</f>
        <v>7294</v>
      </c>
      <c r="AE131" s="29"/>
    </row>
    <row r="132" spans="1:32" ht="13.5" customHeight="1" x14ac:dyDescent="0.2">
      <c r="A132" s="66"/>
      <c r="B132" s="46"/>
      <c r="C132" s="51" t="s">
        <v>168</v>
      </c>
      <c r="D132" s="52">
        <f>G132+I132+K132+M132+O132+Q132+S132+U132+W132+Y132+AA132+AC132</f>
        <v>24</v>
      </c>
      <c r="E132" s="41" t="s">
        <v>169</v>
      </c>
      <c r="F132" s="42">
        <f>SUM(H132+J132+L132+N132+P132+R132+T132+V132+X132+Z132+AB132+AD132)</f>
        <v>24000</v>
      </c>
      <c r="G132" s="53">
        <v>2</v>
      </c>
      <c r="H132" s="46">
        <f>G132*AF132</f>
        <v>2000</v>
      </c>
      <c r="I132" s="53">
        <v>2</v>
      </c>
      <c r="J132" s="46">
        <f>I132*AF132</f>
        <v>2000</v>
      </c>
      <c r="K132" s="53">
        <v>2</v>
      </c>
      <c r="L132" s="46">
        <f>K132*AF132</f>
        <v>2000</v>
      </c>
      <c r="M132" s="53">
        <v>2</v>
      </c>
      <c r="N132" s="46">
        <f>M132*AF132</f>
        <v>2000</v>
      </c>
      <c r="O132" s="53">
        <v>2</v>
      </c>
      <c r="P132" s="46">
        <f>O132*AF132</f>
        <v>2000</v>
      </c>
      <c r="Q132" s="53">
        <v>2</v>
      </c>
      <c r="R132" s="46">
        <f>Q132*AF132</f>
        <v>2000</v>
      </c>
      <c r="S132" s="53">
        <v>2</v>
      </c>
      <c r="T132" s="46">
        <f>AF132*S132</f>
        <v>2000</v>
      </c>
      <c r="U132" s="53">
        <v>2</v>
      </c>
      <c r="V132" s="46">
        <f>U132*AF132</f>
        <v>2000</v>
      </c>
      <c r="W132" s="53">
        <v>2</v>
      </c>
      <c r="X132" s="46">
        <f>W132*AF132</f>
        <v>2000</v>
      </c>
      <c r="Y132" s="53">
        <v>2</v>
      </c>
      <c r="Z132" s="46">
        <f>Y132*AF132</f>
        <v>2000</v>
      </c>
      <c r="AA132" s="53">
        <v>2</v>
      </c>
      <c r="AB132" s="46">
        <f>AA132*AF132</f>
        <v>2000</v>
      </c>
      <c r="AC132" s="53">
        <v>2</v>
      </c>
      <c r="AD132" s="46">
        <f>AC132*AF132</f>
        <v>2000</v>
      </c>
      <c r="AE132" s="29"/>
      <c r="AF132">
        <v>1000</v>
      </c>
    </row>
    <row r="133" spans="1:32" ht="13.5" customHeight="1" x14ac:dyDescent="0.2">
      <c r="A133" s="66"/>
      <c r="B133" s="46"/>
      <c r="C133" s="51" t="s">
        <v>170</v>
      </c>
      <c r="D133" s="52">
        <f>G133+I133+K133+M133+O133+Q133+S133+U133+W133+Y133+AA133+AC133</f>
        <v>2040</v>
      </c>
      <c r="E133" s="41" t="s">
        <v>171</v>
      </c>
      <c r="F133" s="42">
        <f>H133+J133+L133+N133+P133+R133+T133+V133+X133+Z133+AB133+AD133</f>
        <v>51000</v>
      </c>
      <c r="G133" s="53">
        <v>170</v>
      </c>
      <c r="H133" s="46">
        <f>G133*AF133</f>
        <v>4250</v>
      </c>
      <c r="I133" s="53">
        <v>170</v>
      </c>
      <c r="J133" s="46">
        <f>I133*AF133</f>
        <v>4250</v>
      </c>
      <c r="K133" s="53">
        <v>170</v>
      </c>
      <c r="L133" s="46">
        <f>K133*AF133</f>
        <v>4250</v>
      </c>
      <c r="M133" s="53">
        <v>170</v>
      </c>
      <c r="N133" s="46">
        <f>M133*AF133</f>
        <v>4250</v>
      </c>
      <c r="O133" s="53">
        <v>170</v>
      </c>
      <c r="P133" s="46">
        <f>O133*AF133</f>
        <v>4250</v>
      </c>
      <c r="Q133" s="53">
        <v>170</v>
      </c>
      <c r="R133" s="46">
        <f>Q133*AF133</f>
        <v>4250</v>
      </c>
      <c r="S133" s="53">
        <v>170</v>
      </c>
      <c r="T133" s="46">
        <f>S133*AF133</f>
        <v>4250</v>
      </c>
      <c r="U133" s="53">
        <v>170</v>
      </c>
      <c r="V133" s="46">
        <f>U133*AF133</f>
        <v>4250</v>
      </c>
      <c r="W133" s="53">
        <v>170</v>
      </c>
      <c r="X133" s="46">
        <f>W133*AF133</f>
        <v>4250</v>
      </c>
      <c r="Y133" s="53">
        <v>170</v>
      </c>
      <c r="Z133" s="46">
        <f>Y133*AF133</f>
        <v>4250</v>
      </c>
      <c r="AA133" s="53">
        <v>170</v>
      </c>
      <c r="AB133" s="46">
        <f>AA133*AF133</f>
        <v>4250</v>
      </c>
      <c r="AC133" s="53">
        <v>170</v>
      </c>
      <c r="AD133" s="46">
        <f>AC133*AF133</f>
        <v>4250</v>
      </c>
      <c r="AE133" s="29"/>
      <c r="AF133">
        <v>25</v>
      </c>
    </row>
    <row r="134" spans="1:32" ht="13.5" customHeight="1" x14ac:dyDescent="0.2">
      <c r="A134" s="67"/>
      <c r="B134" s="38"/>
      <c r="C134" s="51" t="s">
        <v>172</v>
      </c>
      <c r="D134" s="52">
        <f>G134+I134+K134+M134+O134+Q134+S134+U134+W134+Y134+AA134+AC134</f>
        <v>180</v>
      </c>
      <c r="E134" s="41" t="s">
        <v>173</v>
      </c>
      <c r="F134" s="42">
        <f>SUM(H134+J134+L134+N134+P134+R134+T134+V134+X134+Z134+AB134+AD134)</f>
        <v>12528</v>
      </c>
      <c r="G134" s="43">
        <v>15</v>
      </c>
      <c r="H134" s="44">
        <f>G134*AF134</f>
        <v>1044</v>
      </c>
      <c r="I134" s="43">
        <v>15</v>
      </c>
      <c r="J134" s="44">
        <f>I134*AF134</f>
        <v>1044</v>
      </c>
      <c r="K134" s="43">
        <v>15</v>
      </c>
      <c r="L134" s="44">
        <f>K134*AF134</f>
        <v>1044</v>
      </c>
      <c r="M134" s="43">
        <v>15</v>
      </c>
      <c r="N134" s="44">
        <f>M134*AF134</f>
        <v>1044</v>
      </c>
      <c r="O134" s="43">
        <v>15</v>
      </c>
      <c r="P134" s="44">
        <f>O134*AF134</f>
        <v>1044</v>
      </c>
      <c r="Q134" s="43">
        <v>15</v>
      </c>
      <c r="R134" s="44">
        <f>Q134*AF134</f>
        <v>1044</v>
      </c>
      <c r="S134" s="43">
        <v>15</v>
      </c>
      <c r="T134" s="44">
        <f>S134*AF134</f>
        <v>1044</v>
      </c>
      <c r="U134" s="43">
        <v>15</v>
      </c>
      <c r="V134" s="44">
        <f>U134*AF134</f>
        <v>1044</v>
      </c>
      <c r="W134" s="43">
        <v>15</v>
      </c>
      <c r="X134" s="44">
        <f>W134*AF134</f>
        <v>1044</v>
      </c>
      <c r="Y134" s="43">
        <v>15</v>
      </c>
      <c r="Z134" s="44">
        <f>Y134*AF134</f>
        <v>1044</v>
      </c>
      <c r="AA134" s="43">
        <v>15</v>
      </c>
      <c r="AB134" s="44">
        <f>AA134*AF134</f>
        <v>1044</v>
      </c>
      <c r="AC134" s="43">
        <v>15</v>
      </c>
      <c r="AD134" s="44">
        <f>AC134*AF134</f>
        <v>1044</v>
      </c>
      <c r="AE134" s="29"/>
      <c r="AF134">
        <v>69.599999999999994</v>
      </c>
    </row>
    <row r="135" spans="1:32" ht="24" customHeight="1" x14ac:dyDescent="0.2">
      <c r="A135" s="24"/>
      <c r="B135" s="30">
        <v>2400</v>
      </c>
      <c r="C135" s="31" t="s">
        <v>174</v>
      </c>
      <c r="D135" s="57"/>
      <c r="E135" s="33"/>
      <c r="F135" s="34">
        <f>SUM(F136,F138,F144)</f>
        <v>27763</v>
      </c>
      <c r="G135" s="34"/>
      <c r="H135" s="34">
        <f>SUM(H136,H138,H144)</f>
        <v>2160</v>
      </c>
      <c r="I135" s="34"/>
      <c r="J135" s="34">
        <f>SUM(J136,J138,J144)</f>
        <v>5232</v>
      </c>
      <c r="K135" s="34"/>
      <c r="L135" s="34">
        <f>SUM(L136,L138,L144)</f>
        <v>2544</v>
      </c>
      <c r="M135" s="34"/>
      <c r="N135" s="34">
        <f>SUM(N136,N138,N144)</f>
        <v>5107</v>
      </c>
      <c r="O135" s="34"/>
      <c r="P135" s="34">
        <f>SUM(P136,P138,P144)</f>
        <v>0</v>
      </c>
      <c r="Q135" s="34"/>
      <c r="R135" s="34">
        <f>SUM(R136,R138,R144)</f>
        <v>0</v>
      </c>
      <c r="S135" s="34"/>
      <c r="T135" s="34">
        <f>SUM(T136,T138,T144)</f>
        <v>4944</v>
      </c>
      <c r="U135" s="34"/>
      <c r="V135" s="34">
        <f>SUM(V136,V138,V144)</f>
        <v>0</v>
      </c>
      <c r="W135" s="34"/>
      <c r="X135" s="34">
        <f>SUM(X136,X138,X144)</f>
        <v>0</v>
      </c>
      <c r="Y135" s="34"/>
      <c r="Z135" s="34">
        <f>SUM(Z136,Z138,Z144)</f>
        <v>0</v>
      </c>
      <c r="AA135" s="34"/>
      <c r="AB135" s="34">
        <f>SUM(AB136,AB138,AB144)</f>
        <v>0</v>
      </c>
      <c r="AC135" s="34"/>
      <c r="AD135" s="34">
        <f>SUM(AD136,AD138,AD144)</f>
        <v>0</v>
      </c>
      <c r="AE135" s="29"/>
    </row>
    <row r="136" spans="1:32" ht="16.5" customHeight="1" x14ac:dyDescent="0.2">
      <c r="A136" s="24"/>
      <c r="B136" s="35">
        <v>242</v>
      </c>
      <c r="C136" s="31" t="s">
        <v>175</v>
      </c>
      <c r="D136" s="57"/>
      <c r="E136" s="30"/>
      <c r="F136" s="36">
        <f>F137</f>
        <v>900</v>
      </c>
      <c r="G136" s="61" t="s">
        <v>123</v>
      </c>
      <c r="H136" s="34">
        <f>H137</f>
        <v>0</v>
      </c>
      <c r="I136" s="34"/>
      <c r="J136" s="34">
        <f>J137</f>
        <v>0</v>
      </c>
      <c r="K136" s="34"/>
      <c r="L136" s="34">
        <f>L137</f>
        <v>0</v>
      </c>
      <c r="M136" s="34"/>
      <c r="N136" s="34">
        <f>N137</f>
        <v>900</v>
      </c>
      <c r="O136" s="34"/>
      <c r="P136" s="34">
        <f>P137</f>
        <v>0</v>
      </c>
      <c r="Q136" s="34"/>
      <c r="R136" s="34">
        <f>R137</f>
        <v>0</v>
      </c>
      <c r="S136" s="34"/>
      <c r="T136" s="34">
        <f>T137</f>
        <v>0</v>
      </c>
      <c r="U136" s="34"/>
      <c r="V136" s="34">
        <f>V137</f>
        <v>0</v>
      </c>
      <c r="W136" s="34"/>
      <c r="X136" s="34">
        <f>X137</f>
        <v>0</v>
      </c>
      <c r="Y136" s="34"/>
      <c r="Z136" s="34">
        <f>Z137</f>
        <v>0</v>
      </c>
      <c r="AA136" s="34"/>
      <c r="AB136" s="34">
        <f>AB137</f>
        <v>0</v>
      </c>
      <c r="AC136" s="34"/>
      <c r="AD136" s="34">
        <f>AD137</f>
        <v>0</v>
      </c>
      <c r="AE136" s="29"/>
    </row>
    <row r="137" spans="1:32" ht="13.5" customHeight="1" x14ac:dyDescent="0.2">
      <c r="A137" s="24"/>
      <c r="B137" s="35"/>
      <c r="C137" s="51" t="s">
        <v>176</v>
      </c>
      <c r="D137" s="57">
        <f>G137+I137+K137+M137+O137+Q137+S137+U137+W137+Y137+AA137+AC137</f>
        <v>200</v>
      </c>
      <c r="E137" s="41" t="s">
        <v>132</v>
      </c>
      <c r="F137" s="42">
        <f>SUM(H137,J137,L137,N137,P137,R137,T137,V137,X137,Z137,AB137,AD137)</f>
        <v>900</v>
      </c>
      <c r="G137" s="53">
        <v>0</v>
      </c>
      <c r="H137" s="46">
        <v>0</v>
      </c>
      <c r="I137" s="53"/>
      <c r="J137" s="46">
        <v>0</v>
      </c>
      <c r="K137" s="53">
        <v>0</v>
      </c>
      <c r="L137" s="46">
        <v>0</v>
      </c>
      <c r="M137" s="53">
        <v>200</v>
      </c>
      <c r="N137" s="46">
        <v>900</v>
      </c>
      <c r="O137" s="53">
        <v>0</v>
      </c>
      <c r="P137" s="46">
        <v>0</v>
      </c>
      <c r="Q137" s="53">
        <v>0</v>
      </c>
      <c r="R137" s="46">
        <v>0</v>
      </c>
      <c r="S137" s="53">
        <v>0</v>
      </c>
      <c r="T137" s="46">
        <v>0</v>
      </c>
      <c r="U137" s="53">
        <v>0</v>
      </c>
      <c r="V137" s="46">
        <v>0</v>
      </c>
      <c r="W137" s="53">
        <v>0</v>
      </c>
      <c r="X137" s="46">
        <v>0</v>
      </c>
      <c r="Y137" s="53">
        <v>0</v>
      </c>
      <c r="Z137" s="46">
        <v>0</v>
      </c>
      <c r="AA137" s="53">
        <v>0</v>
      </c>
      <c r="AB137" s="46">
        <v>0</v>
      </c>
      <c r="AC137" s="53">
        <v>0</v>
      </c>
      <c r="AD137" s="46">
        <v>0</v>
      </c>
      <c r="AE137" s="29"/>
      <c r="AF137">
        <v>4.5</v>
      </c>
    </row>
    <row r="138" spans="1:32" ht="13.5" customHeight="1" x14ac:dyDescent="0.2">
      <c r="A138" s="24"/>
      <c r="B138" s="68">
        <v>243</v>
      </c>
      <c r="C138" s="25" t="s">
        <v>177</v>
      </c>
      <c r="D138" s="57"/>
      <c r="E138" s="69"/>
      <c r="F138" s="36">
        <f>F140+F139+F141</f>
        <v>9439</v>
      </c>
      <c r="G138" s="70" t="s">
        <v>123</v>
      </c>
      <c r="H138" s="36">
        <f>H140</f>
        <v>0</v>
      </c>
      <c r="I138" s="71"/>
      <c r="J138" s="36">
        <f>J140</f>
        <v>0</v>
      </c>
      <c r="K138" s="71"/>
      <c r="L138" s="36">
        <f>L140</f>
        <v>0</v>
      </c>
      <c r="M138" s="71"/>
      <c r="N138" s="36">
        <f>N140</f>
        <v>1663</v>
      </c>
      <c r="O138" s="71"/>
      <c r="P138" s="36">
        <f>P140</f>
        <v>0</v>
      </c>
      <c r="Q138" s="71"/>
      <c r="R138" s="36">
        <f>R140</f>
        <v>0</v>
      </c>
      <c r="S138" s="71"/>
      <c r="T138" s="36">
        <f>T140</f>
        <v>0</v>
      </c>
      <c r="U138" s="71"/>
      <c r="V138" s="36">
        <f>V140</f>
        <v>0</v>
      </c>
      <c r="W138" s="71"/>
      <c r="X138" s="36">
        <f>X140</f>
        <v>0</v>
      </c>
      <c r="Y138" s="71"/>
      <c r="Z138" s="36">
        <f>Z140</f>
        <v>0</v>
      </c>
      <c r="AA138" s="71"/>
      <c r="AB138" s="36">
        <f>AB140</f>
        <v>0</v>
      </c>
      <c r="AC138" s="71"/>
      <c r="AD138" s="36">
        <f>AD140</f>
        <v>0</v>
      </c>
      <c r="AE138" s="29"/>
    </row>
    <row r="139" spans="1:32" ht="13.5" customHeight="1" x14ac:dyDescent="0.2">
      <c r="A139" s="24"/>
      <c r="B139" s="68"/>
      <c r="C139" s="72" t="s">
        <v>178</v>
      </c>
      <c r="D139" s="57">
        <f>G139+I139+K139+M139+O139+Q139+S139+U139+W139+Y139+AA139+AC139</f>
        <v>50</v>
      </c>
      <c r="E139" s="73" t="s">
        <v>132</v>
      </c>
      <c r="F139" s="42">
        <f>SUM(H139,J139,L139,N139,P139,R139,T139,V139,X139,Z139,AB139,AD139)</f>
        <v>180</v>
      </c>
      <c r="G139" s="74">
        <v>0</v>
      </c>
      <c r="H139" s="42">
        <v>0</v>
      </c>
      <c r="I139" s="75">
        <v>0</v>
      </c>
      <c r="J139" s="42">
        <v>0</v>
      </c>
      <c r="K139" s="75">
        <v>0</v>
      </c>
      <c r="L139" s="42">
        <v>0</v>
      </c>
      <c r="M139" s="76">
        <v>50</v>
      </c>
      <c r="N139" s="42">
        <v>180</v>
      </c>
      <c r="O139" s="75">
        <v>0</v>
      </c>
      <c r="P139" s="42">
        <v>0</v>
      </c>
      <c r="Q139" s="75">
        <v>0</v>
      </c>
      <c r="R139" s="42">
        <v>0</v>
      </c>
      <c r="S139" s="75">
        <v>0</v>
      </c>
      <c r="T139" s="42">
        <v>0</v>
      </c>
      <c r="U139" s="75">
        <v>0</v>
      </c>
      <c r="V139" s="42">
        <v>0</v>
      </c>
      <c r="W139" s="75">
        <v>0</v>
      </c>
      <c r="X139" s="42">
        <v>0</v>
      </c>
      <c r="Y139" s="75"/>
      <c r="Z139" s="42">
        <v>0</v>
      </c>
      <c r="AA139" s="75">
        <v>0</v>
      </c>
      <c r="AB139" s="42">
        <v>0</v>
      </c>
      <c r="AC139" s="75">
        <v>0</v>
      </c>
      <c r="AD139" s="42">
        <v>0</v>
      </c>
      <c r="AE139" s="29"/>
      <c r="AF139">
        <v>3.6</v>
      </c>
    </row>
    <row r="140" spans="1:32" ht="13.5" customHeight="1" x14ac:dyDescent="0.2">
      <c r="A140" s="24"/>
      <c r="B140" s="35"/>
      <c r="C140" s="51" t="s">
        <v>179</v>
      </c>
      <c r="D140" s="57">
        <f>G140+I140+K140+M140+O140+Q140+S140+U140+W140+Y140+AA140+AC140</f>
        <v>2</v>
      </c>
      <c r="E140" s="41" t="s">
        <v>46</v>
      </c>
      <c r="F140" s="42">
        <f>SUM(H140,J140,L140,N140,P140,R140,T140,V140,X140,Z140,AB140,AD140)</f>
        <v>1663</v>
      </c>
      <c r="G140" s="53">
        <v>0</v>
      </c>
      <c r="H140" s="46">
        <v>0</v>
      </c>
      <c r="I140" s="53">
        <v>0</v>
      </c>
      <c r="J140" s="46">
        <v>0</v>
      </c>
      <c r="K140" s="53">
        <v>0</v>
      </c>
      <c r="L140" s="46">
        <v>0</v>
      </c>
      <c r="M140" s="53">
        <v>2</v>
      </c>
      <c r="N140" s="46">
        <v>1663</v>
      </c>
      <c r="O140" s="53">
        <v>0</v>
      </c>
      <c r="P140" s="46">
        <v>0</v>
      </c>
      <c r="Q140" s="53">
        <v>0</v>
      </c>
      <c r="R140" s="46">
        <v>0</v>
      </c>
      <c r="S140" s="53">
        <v>0</v>
      </c>
      <c r="T140" s="46">
        <v>0</v>
      </c>
      <c r="U140" s="53">
        <v>0</v>
      </c>
      <c r="V140" s="46">
        <v>0</v>
      </c>
      <c r="W140" s="53">
        <v>0</v>
      </c>
      <c r="X140" s="46">
        <v>0</v>
      </c>
      <c r="Y140" s="53">
        <v>0</v>
      </c>
      <c r="Z140" s="46">
        <v>0</v>
      </c>
      <c r="AA140" s="53">
        <v>0</v>
      </c>
      <c r="AB140" s="46">
        <v>0</v>
      </c>
      <c r="AC140" s="53">
        <v>0</v>
      </c>
      <c r="AD140" s="46">
        <v>0</v>
      </c>
      <c r="AE140" s="29"/>
    </row>
    <row r="141" spans="1:32" ht="13.5" customHeight="1" x14ac:dyDescent="0.2">
      <c r="A141" s="24"/>
      <c r="B141" s="35"/>
      <c r="C141" s="51" t="s">
        <v>180</v>
      </c>
      <c r="D141" s="57">
        <f>G141+I141+K141+M141+O141+Q141+S141+U141+W141+Y141+AA141+AC141</f>
        <v>18</v>
      </c>
      <c r="E141" s="41" t="s">
        <v>181</v>
      </c>
      <c r="F141" s="42">
        <f>SUM(H141,J141,L141,N141,P141,R141,T141,V141,X141,Z141,AB141,AD141)</f>
        <v>7596</v>
      </c>
      <c r="G141" s="53">
        <v>18</v>
      </c>
      <c r="H141" s="46">
        <f>G141*AF141</f>
        <v>7596</v>
      </c>
      <c r="I141" s="53">
        <v>0</v>
      </c>
      <c r="J141" s="46">
        <v>0</v>
      </c>
      <c r="K141" s="53">
        <v>0</v>
      </c>
      <c r="L141" s="46">
        <v>0</v>
      </c>
      <c r="M141" s="53">
        <v>0</v>
      </c>
      <c r="N141" s="46">
        <v>0</v>
      </c>
      <c r="O141" s="53">
        <v>0</v>
      </c>
      <c r="P141" s="46">
        <v>0</v>
      </c>
      <c r="Q141" s="53">
        <v>0</v>
      </c>
      <c r="R141" s="46">
        <v>0</v>
      </c>
      <c r="S141" s="53">
        <v>0</v>
      </c>
      <c r="T141" s="46">
        <v>0</v>
      </c>
      <c r="U141" s="53">
        <v>0</v>
      </c>
      <c r="V141" s="46">
        <v>0</v>
      </c>
      <c r="W141" s="53">
        <v>0</v>
      </c>
      <c r="X141" s="46">
        <v>0</v>
      </c>
      <c r="Y141" s="53">
        <v>0</v>
      </c>
      <c r="Z141" s="46">
        <v>0</v>
      </c>
      <c r="AA141" s="53">
        <v>0</v>
      </c>
      <c r="AB141" s="46">
        <v>0</v>
      </c>
      <c r="AC141" s="53">
        <v>0</v>
      </c>
      <c r="AD141" s="46">
        <v>0</v>
      </c>
      <c r="AE141" s="29"/>
      <c r="AF141">
        <v>422</v>
      </c>
    </row>
    <row r="142" spans="1:32" ht="13.5" customHeight="1" x14ac:dyDescent="0.2">
      <c r="A142" s="24"/>
      <c r="B142" s="35">
        <v>246</v>
      </c>
      <c r="C142" s="31" t="s">
        <v>182</v>
      </c>
      <c r="D142" s="57"/>
      <c r="E142" s="30"/>
      <c r="F142" s="36">
        <f>F143</f>
        <v>626.4</v>
      </c>
      <c r="G142" s="61" t="s">
        <v>123</v>
      </c>
      <c r="H142" s="34">
        <f>H143</f>
        <v>0</v>
      </c>
      <c r="I142" s="34"/>
      <c r="J142" s="34">
        <f>J143</f>
        <v>0</v>
      </c>
      <c r="K142" s="34"/>
      <c r="L142" s="34">
        <f>L143</f>
        <v>626.4</v>
      </c>
      <c r="M142" s="34"/>
      <c r="N142" s="34">
        <f>N143</f>
        <v>0</v>
      </c>
      <c r="O142" s="34"/>
      <c r="P142" s="34">
        <f>P143</f>
        <v>0</v>
      </c>
      <c r="Q142" s="34"/>
      <c r="R142" s="34">
        <f>R143</f>
        <v>0</v>
      </c>
      <c r="S142" s="34"/>
      <c r="T142" s="34">
        <f>T143</f>
        <v>0</v>
      </c>
      <c r="U142" s="34"/>
      <c r="V142" s="34">
        <f>V143</f>
        <v>0</v>
      </c>
      <c r="W142" s="34"/>
      <c r="X142" s="34">
        <f>X143</f>
        <v>0</v>
      </c>
      <c r="Y142" s="34"/>
      <c r="Z142" s="34">
        <f>Z143</f>
        <v>0</v>
      </c>
      <c r="AA142" s="34"/>
      <c r="AB142" s="34">
        <f>AB143</f>
        <v>0</v>
      </c>
      <c r="AC142" s="34"/>
      <c r="AD142" s="34">
        <f>AD143</f>
        <v>0</v>
      </c>
      <c r="AE142" s="29"/>
    </row>
    <row r="143" spans="1:32" ht="13.5" customHeight="1" x14ac:dyDescent="0.2">
      <c r="A143" s="24"/>
      <c r="B143" s="35"/>
      <c r="C143" s="51" t="s">
        <v>183</v>
      </c>
      <c r="D143" s="52">
        <f>G143+I143+K143+M143+O143+Q143+S143+U143+W143+Y143+AA143+AC143</f>
        <v>15</v>
      </c>
      <c r="E143" s="41" t="s">
        <v>39</v>
      </c>
      <c r="F143" s="42">
        <f>SUM(H143,J143,L143,N143,P143,R143,T143,V143,X143,Z143,AB143,AD143)</f>
        <v>626.4</v>
      </c>
      <c r="G143" s="53">
        <v>0</v>
      </c>
      <c r="H143" s="46">
        <f>(G143*AF143)*1.16</f>
        <v>0</v>
      </c>
      <c r="I143" s="53">
        <v>0</v>
      </c>
      <c r="J143" s="46">
        <f>(I143*AF143)*1.16</f>
        <v>0</v>
      </c>
      <c r="K143" s="53">
        <v>15</v>
      </c>
      <c r="L143" s="46">
        <f>(K143*AF143)*1.16</f>
        <v>626.4</v>
      </c>
      <c r="M143" s="53">
        <v>0</v>
      </c>
      <c r="N143" s="46">
        <f>(M143*AF143)*1.16</f>
        <v>0</v>
      </c>
      <c r="O143" s="53">
        <v>0</v>
      </c>
      <c r="P143" s="46">
        <f>(O143*AF143)*1.16</f>
        <v>0</v>
      </c>
      <c r="Q143" s="53">
        <v>0</v>
      </c>
      <c r="R143" s="46">
        <f>(Q143*AF143)*1.16</f>
        <v>0</v>
      </c>
      <c r="S143" s="53">
        <v>0</v>
      </c>
      <c r="T143" s="46">
        <f>(S143*AF143)*1.16</f>
        <v>0</v>
      </c>
      <c r="U143" s="53">
        <v>0</v>
      </c>
      <c r="V143" s="46">
        <f>(U143*AF143)*1.16</f>
        <v>0</v>
      </c>
      <c r="W143" s="53">
        <v>0</v>
      </c>
      <c r="X143" s="46">
        <f>(W143*AF143)*1.16</f>
        <v>0</v>
      </c>
      <c r="Y143" s="53">
        <v>0</v>
      </c>
      <c r="Z143" s="46">
        <f>(Y143*AF143)*1.16</f>
        <v>0</v>
      </c>
      <c r="AA143" s="53">
        <v>0</v>
      </c>
      <c r="AB143" s="46">
        <f>(AA143*AF143)*1.16</f>
        <v>0</v>
      </c>
      <c r="AC143" s="53">
        <v>0</v>
      </c>
      <c r="AD143" s="46">
        <f>(AC143*AF143)*1.16</f>
        <v>0</v>
      </c>
      <c r="AE143" s="29"/>
      <c r="AF143">
        <v>36</v>
      </c>
    </row>
    <row r="144" spans="1:32" ht="15" customHeight="1" x14ac:dyDescent="0.2">
      <c r="A144" s="24"/>
      <c r="B144" s="35">
        <v>248</v>
      </c>
      <c r="C144" s="31" t="s">
        <v>184</v>
      </c>
      <c r="D144" s="57"/>
      <c r="E144" s="30"/>
      <c r="F144" s="36">
        <f>SUM(F145:F148)</f>
        <v>17424</v>
      </c>
      <c r="G144" s="61" t="s">
        <v>123</v>
      </c>
      <c r="H144" s="36">
        <f>SUM(H145:H148)</f>
        <v>2160</v>
      </c>
      <c r="I144" s="34"/>
      <c r="J144" s="36">
        <f>SUM(J145:J148)</f>
        <v>5232</v>
      </c>
      <c r="K144" s="34"/>
      <c r="L144" s="36">
        <f>SUM(L145:L148)</f>
        <v>2544</v>
      </c>
      <c r="M144" s="34"/>
      <c r="N144" s="36">
        <f>SUM(N145:N148)</f>
        <v>2544</v>
      </c>
      <c r="O144" s="34"/>
      <c r="P144" s="36">
        <f>SUM(P145:P148)</f>
        <v>0</v>
      </c>
      <c r="Q144" s="34"/>
      <c r="R144" s="36">
        <f>SUM(R145:R148)</f>
        <v>0</v>
      </c>
      <c r="S144" s="34"/>
      <c r="T144" s="36">
        <f>SUM(T145:T148)</f>
        <v>4944</v>
      </c>
      <c r="U144" s="34"/>
      <c r="V144" s="36">
        <f>SUM(V145:V148)</f>
        <v>0</v>
      </c>
      <c r="W144" s="34"/>
      <c r="X144" s="36">
        <f>SUM(X145:X148)</f>
        <v>0</v>
      </c>
      <c r="Y144" s="34"/>
      <c r="Z144" s="36">
        <f>SUM(Z145:Z148)</f>
        <v>0</v>
      </c>
      <c r="AA144" s="34"/>
      <c r="AB144" s="36">
        <f>SUM(AB145:AB148)</f>
        <v>0</v>
      </c>
      <c r="AC144" s="34"/>
      <c r="AD144" s="36">
        <f>SUM(AD145:AD148)</f>
        <v>0</v>
      </c>
      <c r="AE144" s="29"/>
    </row>
    <row r="145" spans="1:32" ht="12" customHeight="1" x14ac:dyDescent="0.2">
      <c r="A145" s="24"/>
      <c r="B145" s="35"/>
      <c r="C145" s="51" t="s">
        <v>185</v>
      </c>
      <c r="D145" s="52">
        <f>G145+I145+K145+M145+O145+Q145+S145+U145+W145+Y145+AA145+AC145</f>
        <v>2</v>
      </c>
      <c r="E145" s="41" t="s">
        <v>39</v>
      </c>
      <c r="F145" s="60">
        <f>SUM(H145,J145,L145,N145,P145,R145,T145,V145,X145,Z145,AB145,AD145)</f>
        <v>4320</v>
      </c>
      <c r="G145" s="43">
        <v>0</v>
      </c>
      <c r="H145" s="44">
        <v>0</v>
      </c>
      <c r="I145" s="53">
        <v>0</v>
      </c>
      <c r="J145" s="46">
        <v>0</v>
      </c>
      <c r="K145" s="43">
        <v>0</v>
      </c>
      <c r="L145" s="44">
        <v>0</v>
      </c>
      <c r="M145" s="53">
        <v>1</v>
      </c>
      <c r="N145" s="46">
        <v>2160</v>
      </c>
      <c r="O145" s="43">
        <v>0</v>
      </c>
      <c r="P145" s="44">
        <v>0</v>
      </c>
      <c r="Q145" s="43">
        <v>0</v>
      </c>
      <c r="R145" s="44">
        <v>0</v>
      </c>
      <c r="S145" s="43">
        <v>1</v>
      </c>
      <c r="T145" s="44">
        <v>2160</v>
      </c>
      <c r="U145" s="53">
        <v>0</v>
      </c>
      <c r="V145" s="46">
        <v>0</v>
      </c>
      <c r="W145" s="43">
        <v>0</v>
      </c>
      <c r="X145" s="44">
        <v>0</v>
      </c>
      <c r="Y145" s="43">
        <v>0</v>
      </c>
      <c r="Z145" s="44">
        <v>0</v>
      </c>
      <c r="AA145" s="43">
        <v>0</v>
      </c>
      <c r="AB145" s="44">
        <v>0</v>
      </c>
      <c r="AC145" s="43">
        <v>0</v>
      </c>
      <c r="AD145" s="44">
        <v>0</v>
      </c>
      <c r="AE145" s="29"/>
    </row>
    <row r="146" spans="1:32" ht="11.25" customHeight="1" x14ac:dyDescent="0.2">
      <c r="A146" s="24"/>
      <c r="B146" s="35"/>
      <c r="C146" s="51" t="s">
        <v>186</v>
      </c>
      <c r="D146" s="52">
        <f>G146+I146+K146+M146+O146+Q146+S146+U146+W146+Y146+AA146+AC146</f>
        <v>8</v>
      </c>
      <c r="E146" s="41" t="s">
        <v>39</v>
      </c>
      <c r="F146" s="60">
        <f>SUM(H146,J146,L146,N146,P146,R146,T146,V146,X146,Z146,AB146,AD146)</f>
        <v>5568</v>
      </c>
      <c r="G146" s="43">
        <v>0</v>
      </c>
      <c r="H146" s="44">
        <v>0</v>
      </c>
      <c r="I146" s="53">
        <v>4</v>
      </c>
      <c r="J146" s="46">
        <v>2784</v>
      </c>
      <c r="K146" s="43">
        <v>0</v>
      </c>
      <c r="L146" s="44">
        <v>0</v>
      </c>
      <c r="M146" s="53">
        <v>0</v>
      </c>
      <c r="N146" s="46">
        <v>0</v>
      </c>
      <c r="O146" s="43">
        <v>0</v>
      </c>
      <c r="P146" s="44">
        <v>0</v>
      </c>
      <c r="Q146" s="43">
        <v>0</v>
      </c>
      <c r="R146" s="44">
        <v>0</v>
      </c>
      <c r="S146" s="43">
        <v>4</v>
      </c>
      <c r="T146" s="44">
        <v>2784</v>
      </c>
      <c r="U146" s="53">
        <v>0</v>
      </c>
      <c r="V146" s="46">
        <v>0</v>
      </c>
      <c r="W146" s="43">
        <v>0</v>
      </c>
      <c r="X146" s="44">
        <v>0</v>
      </c>
      <c r="Y146" s="43">
        <v>0</v>
      </c>
      <c r="Z146" s="44">
        <v>0</v>
      </c>
      <c r="AA146" s="43">
        <v>0</v>
      </c>
      <c r="AB146" s="44">
        <v>0</v>
      </c>
      <c r="AC146" s="43">
        <v>0</v>
      </c>
      <c r="AD146" s="44">
        <v>0</v>
      </c>
      <c r="AE146" s="29"/>
      <c r="AF146">
        <v>696</v>
      </c>
    </row>
    <row r="147" spans="1:32" ht="11.25" customHeight="1" x14ac:dyDescent="0.2">
      <c r="A147" s="24"/>
      <c r="B147" s="35"/>
      <c r="C147" s="51" t="s">
        <v>187</v>
      </c>
      <c r="D147" s="52">
        <f>G147+I147+K147+M147+O147+Q147+S147+U147+W147+Y147+AA147+AC147</f>
        <v>60</v>
      </c>
      <c r="E147" s="41" t="s">
        <v>39</v>
      </c>
      <c r="F147" s="60">
        <f>SUM(H147,J147,L147,N147,P147,R147,T147,V147,X147,Z147,AB147,AD147)</f>
        <v>6480</v>
      </c>
      <c r="G147" s="43">
        <v>20</v>
      </c>
      <c r="H147" s="44">
        <f>G147*108</f>
        <v>2160</v>
      </c>
      <c r="I147" s="43">
        <v>20</v>
      </c>
      <c r="J147" s="44">
        <f>I147*108</f>
        <v>2160</v>
      </c>
      <c r="K147" s="43">
        <v>20</v>
      </c>
      <c r="L147" s="44">
        <f>K147*108</f>
        <v>2160</v>
      </c>
      <c r="M147" s="43">
        <v>0</v>
      </c>
      <c r="N147" s="44">
        <v>0</v>
      </c>
      <c r="O147" s="43">
        <v>0</v>
      </c>
      <c r="P147" s="44">
        <v>0</v>
      </c>
      <c r="Q147" s="43">
        <v>0</v>
      </c>
      <c r="R147" s="44">
        <v>0</v>
      </c>
      <c r="S147" s="43">
        <v>0</v>
      </c>
      <c r="T147" s="44">
        <v>0</v>
      </c>
      <c r="U147" s="43">
        <v>0</v>
      </c>
      <c r="V147" s="44">
        <v>0</v>
      </c>
      <c r="W147" s="43">
        <v>0</v>
      </c>
      <c r="X147" s="44">
        <v>0</v>
      </c>
      <c r="Y147" s="43">
        <v>0</v>
      </c>
      <c r="Z147" s="44">
        <v>0</v>
      </c>
      <c r="AA147" s="43">
        <v>0</v>
      </c>
      <c r="AB147" s="44">
        <v>0</v>
      </c>
      <c r="AC147" s="43">
        <v>0</v>
      </c>
      <c r="AD147" s="44">
        <v>0</v>
      </c>
      <c r="AE147" s="29"/>
    </row>
    <row r="148" spans="1:32" ht="14.25" customHeight="1" x14ac:dyDescent="0.2">
      <c r="A148" s="24"/>
      <c r="B148" s="35"/>
      <c r="C148" s="51" t="s">
        <v>188</v>
      </c>
      <c r="D148" s="57">
        <f>G148+I148+K148+M148+O148+Q148+S148+U148+W148+Y148+AA148+AC148</f>
        <v>11</v>
      </c>
      <c r="E148" s="41" t="s">
        <v>39</v>
      </c>
      <c r="F148" s="60">
        <f>SUM(H148,J148,L148,N148,P148,R148,T148,V148,X148,Z148,AB148,AD148)</f>
        <v>1056</v>
      </c>
      <c r="G148" s="43">
        <v>0</v>
      </c>
      <c r="H148" s="44">
        <v>0</v>
      </c>
      <c r="I148" s="43">
        <v>3</v>
      </c>
      <c r="J148" s="44">
        <f>I148*96</f>
        <v>288</v>
      </c>
      <c r="K148" s="43">
        <v>4</v>
      </c>
      <c r="L148" s="44">
        <f>K148*96</f>
        <v>384</v>
      </c>
      <c r="M148" s="43">
        <v>4</v>
      </c>
      <c r="N148" s="44">
        <f>M148*96</f>
        <v>384</v>
      </c>
      <c r="O148" s="43">
        <v>0</v>
      </c>
      <c r="P148" s="44">
        <v>0</v>
      </c>
      <c r="Q148" s="43">
        <v>0</v>
      </c>
      <c r="R148" s="44">
        <v>0</v>
      </c>
      <c r="S148" s="43">
        <v>0</v>
      </c>
      <c r="T148" s="44">
        <v>0</v>
      </c>
      <c r="U148" s="43">
        <v>0</v>
      </c>
      <c r="V148" s="44">
        <v>0</v>
      </c>
      <c r="W148" s="43">
        <v>0</v>
      </c>
      <c r="X148" s="44">
        <v>0</v>
      </c>
      <c r="Y148" s="43">
        <v>0</v>
      </c>
      <c r="Z148" s="44">
        <v>0</v>
      </c>
      <c r="AA148" s="43">
        <v>0</v>
      </c>
      <c r="AB148" s="44">
        <v>0</v>
      </c>
      <c r="AC148" s="43">
        <v>0</v>
      </c>
      <c r="AD148" s="44">
        <v>0</v>
      </c>
      <c r="AE148" s="29"/>
    </row>
    <row r="149" spans="1:32" ht="25.7" customHeight="1" x14ac:dyDescent="0.2">
      <c r="A149" s="24"/>
      <c r="B149" s="35">
        <v>249</v>
      </c>
      <c r="C149" s="31" t="s">
        <v>189</v>
      </c>
      <c r="D149" s="77"/>
      <c r="E149" s="30"/>
      <c r="F149" s="78">
        <f>F150</f>
        <v>13670</v>
      </c>
      <c r="G149" s="61"/>
      <c r="H149" s="34">
        <f>H150</f>
        <v>0</v>
      </c>
      <c r="I149" s="61"/>
      <c r="J149" s="34">
        <f>J150</f>
        <v>5468</v>
      </c>
      <c r="K149" s="61"/>
      <c r="L149" s="34">
        <f>L150</f>
        <v>5468</v>
      </c>
      <c r="M149" s="61"/>
      <c r="N149" s="34">
        <f>N150</f>
        <v>2734</v>
      </c>
      <c r="O149" s="61"/>
      <c r="P149" s="34">
        <f>P150</f>
        <v>0</v>
      </c>
      <c r="Q149" s="61"/>
      <c r="R149" s="34">
        <f>R150</f>
        <v>0</v>
      </c>
      <c r="S149" s="61"/>
      <c r="T149" s="34">
        <f>T150</f>
        <v>0</v>
      </c>
      <c r="U149" s="61"/>
      <c r="V149" s="34">
        <f>V150</f>
        <v>0</v>
      </c>
      <c r="W149" s="61"/>
      <c r="X149" s="34">
        <f>X150</f>
        <v>0</v>
      </c>
      <c r="Y149" s="61"/>
      <c r="Z149" s="34">
        <f>Z150</f>
        <v>0</v>
      </c>
      <c r="AA149" s="61"/>
      <c r="AB149" s="34">
        <f>AB150</f>
        <v>0</v>
      </c>
      <c r="AC149" s="61"/>
      <c r="AD149" s="34">
        <f>AD150</f>
        <v>0</v>
      </c>
      <c r="AE149" s="29"/>
    </row>
    <row r="150" spans="1:32" ht="14.25" customHeight="1" x14ac:dyDescent="0.2">
      <c r="A150" s="24"/>
      <c r="B150" s="35"/>
      <c r="C150" s="51" t="s">
        <v>190</v>
      </c>
      <c r="D150" s="57">
        <f>G150+I150+K150+M150+O150+Q150+S150+U150+W150+Y150+AA150+AC150</f>
        <v>10</v>
      </c>
      <c r="E150" s="41" t="s">
        <v>191</v>
      </c>
      <c r="F150" s="60">
        <f>H150+J150+L150+N150+P150+R150+T150+V150+X150++Z150+AB150+AD150</f>
        <v>13670</v>
      </c>
      <c r="G150" s="43">
        <v>0</v>
      </c>
      <c r="H150" s="44">
        <v>0</v>
      </c>
      <c r="I150" s="43">
        <v>4</v>
      </c>
      <c r="J150" s="44">
        <f>I150*1367</f>
        <v>5468</v>
      </c>
      <c r="K150" s="43">
        <v>4</v>
      </c>
      <c r="L150" s="44">
        <f>1367*K150</f>
        <v>5468</v>
      </c>
      <c r="M150" s="43">
        <v>2</v>
      </c>
      <c r="N150" s="44">
        <f>1367*M150</f>
        <v>2734</v>
      </c>
      <c r="O150" s="43">
        <v>0</v>
      </c>
      <c r="P150" s="44">
        <v>0</v>
      </c>
      <c r="Q150" s="43">
        <v>0</v>
      </c>
      <c r="R150" s="44">
        <v>0</v>
      </c>
      <c r="S150" s="43">
        <v>0</v>
      </c>
      <c r="T150" s="44">
        <v>0</v>
      </c>
      <c r="U150" s="43">
        <v>0</v>
      </c>
      <c r="V150" s="44">
        <v>0</v>
      </c>
      <c r="W150" s="43">
        <v>0</v>
      </c>
      <c r="X150" s="44">
        <v>0</v>
      </c>
      <c r="Y150" s="43">
        <v>0</v>
      </c>
      <c r="Z150" s="44">
        <v>0</v>
      </c>
      <c r="AA150" s="43">
        <v>0</v>
      </c>
      <c r="AB150" s="44">
        <v>0</v>
      </c>
      <c r="AC150" s="43">
        <v>0</v>
      </c>
      <c r="AD150" s="44">
        <v>0</v>
      </c>
      <c r="AE150" s="29"/>
    </row>
    <row r="151" spans="1:32" ht="27.4" customHeight="1" x14ac:dyDescent="0.2">
      <c r="A151" s="24"/>
      <c r="B151" s="30">
        <v>2600</v>
      </c>
      <c r="C151" s="31" t="s">
        <v>192</v>
      </c>
      <c r="D151" s="52"/>
      <c r="E151" s="30"/>
      <c r="F151" s="56">
        <f>SUM(F152)</f>
        <v>1094760</v>
      </c>
      <c r="G151" s="55"/>
      <c r="H151" s="56">
        <f>SUM(H152)</f>
        <v>91230</v>
      </c>
      <c r="I151" s="55" t="s">
        <v>123</v>
      </c>
      <c r="J151" s="56">
        <f>SUM(J152)</f>
        <v>91230</v>
      </c>
      <c r="K151" s="55" t="s">
        <v>123</v>
      </c>
      <c r="L151" s="56">
        <f>SUM(L152)</f>
        <v>91230</v>
      </c>
      <c r="M151" s="55" t="s">
        <v>123</v>
      </c>
      <c r="N151" s="56">
        <f>SUM(N152)</f>
        <v>91230</v>
      </c>
      <c r="O151" s="55" t="s">
        <v>123</v>
      </c>
      <c r="P151" s="56">
        <f>SUM(P152)</f>
        <v>91230</v>
      </c>
      <c r="Q151" s="55" t="s">
        <v>123</v>
      </c>
      <c r="R151" s="56">
        <f>SUM(R152)</f>
        <v>91230</v>
      </c>
      <c r="S151" s="55" t="s">
        <v>123</v>
      </c>
      <c r="T151" s="56">
        <f>SUM(T152)</f>
        <v>91230</v>
      </c>
      <c r="U151" s="55" t="s">
        <v>123</v>
      </c>
      <c r="V151" s="56">
        <f>SUM(V152)</f>
        <v>91230</v>
      </c>
      <c r="W151" s="55" t="s">
        <v>123</v>
      </c>
      <c r="X151" s="56">
        <f>SUM(X152)</f>
        <v>91230</v>
      </c>
      <c r="Y151" s="55" t="s">
        <v>123</v>
      </c>
      <c r="Z151" s="56">
        <f>SUM(Z152)</f>
        <v>91230</v>
      </c>
      <c r="AA151" s="55" t="s">
        <v>123</v>
      </c>
      <c r="AB151" s="56">
        <f>SUM(AB152)</f>
        <v>91230</v>
      </c>
      <c r="AC151" s="55" t="s">
        <v>123</v>
      </c>
      <c r="AD151" s="56">
        <f>SUM(AD152)</f>
        <v>91230</v>
      </c>
      <c r="AE151" s="29"/>
    </row>
    <row r="152" spans="1:32" ht="14.25" customHeight="1" x14ac:dyDescent="0.2">
      <c r="A152" s="24"/>
      <c r="B152" s="32">
        <v>261</v>
      </c>
      <c r="C152" s="79" t="s">
        <v>193</v>
      </c>
      <c r="D152" s="57"/>
      <c r="E152" s="33"/>
      <c r="F152" s="78">
        <f>SUM(F153:F154)</f>
        <v>1094760</v>
      </c>
      <c r="G152" s="61"/>
      <c r="H152" s="78">
        <f>SUM(H153:H154)</f>
        <v>91230</v>
      </c>
      <c r="I152" s="34"/>
      <c r="J152" s="78">
        <f>SUM(J153:J154)</f>
        <v>91230</v>
      </c>
      <c r="K152" s="34"/>
      <c r="L152" s="78">
        <f>SUM(L153:L154)</f>
        <v>91230</v>
      </c>
      <c r="M152" s="34"/>
      <c r="N152" s="78">
        <f>SUM(N153:N154)</f>
        <v>91230</v>
      </c>
      <c r="O152" s="34"/>
      <c r="P152" s="78">
        <f>SUM(P153:P154)</f>
        <v>91230</v>
      </c>
      <c r="Q152" s="34"/>
      <c r="R152" s="78">
        <f>SUM(R153:R154)</f>
        <v>91230</v>
      </c>
      <c r="S152" s="34"/>
      <c r="T152" s="78">
        <f>SUM(T153:T154)</f>
        <v>91230</v>
      </c>
      <c r="U152" s="34"/>
      <c r="V152" s="78">
        <f>SUM(V153:V154)</f>
        <v>91230</v>
      </c>
      <c r="W152" s="34"/>
      <c r="X152" s="78">
        <f>SUM(X153:X154)</f>
        <v>91230</v>
      </c>
      <c r="Y152" s="34"/>
      <c r="Z152" s="78">
        <f>SUM(Z153:Z154)</f>
        <v>91230</v>
      </c>
      <c r="AA152" s="34"/>
      <c r="AB152" s="78">
        <f>SUM(AB153:AB154)</f>
        <v>91230</v>
      </c>
      <c r="AC152" s="34"/>
      <c r="AD152" s="78">
        <f>SUM(AD153:AD154)</f>
        <v>91230</v>
      </c>
      <c r="AE152" s="29"/>
    </row>
    <row r="153" spans="1:32" ht="12" customHeight="1" x14ac:dyDescent="0.2">
      <c r="A153" s="66"/>
      <c r="B153" s="46"/>
      <c r="C153" s="51" t="s">
        <v>194</v>
      </c>
      <c r="D153" s="52">
        <f>G153+I153+K153+M153+O153+Q153+S153+U153+W153+Y153+AA153+AC153</f>
        <v>96</v>
      </c>
      <c r="E153" s="41" t="s">
        <v>195</v>
      </c>
      <c r="F153" s="42">
        <f>SUM(H153,J153,L153,N153,P153,R153,T153,V153,X153,Z153,AB153,AD153)</f>
        <v>15000</v>
      </c>
      <c r="G153" s="80">
        <v>8</v>
      </c>
      <c r="H153" s="46">
        <v>1250</v>
      </c>
      <c r="I153" s="80">
        <v>8</v>
      </c>
      <c r="J153" s="46">
        <v>1250</v>
      </c>
      <c r="K153" s="80">
        <v>8</v>
      </c>
      <c r="L153" s="46">
        <v>1250</v>
      </c>
      <c r="M153" s="80">
        <v>8</v>
      </c>
      <c r="N153" s="46">
        <v>1250</v>
      </c>
      <c r="O153" s="80">
        <v>8</v>
      </c>
      <c r="P153" s="46">
        <v>1250</v>
      </c>
      <c r="Q153" s="80">
        <v>8</v>
      </c>
      <c r="R153" s="46">
        <v>1250</v>
      </c>
      <c r="S153" s="80">
        <v>8</v>
      </c>
      <c r="T153" s="46">
        <v>1250</v>
      </c>
      <c r="U153" s="80">
        <v>8</v>
      </c>
      <c r="V153" s="46">
        <v>1250</v>
      </c>
      <c r="W153" s="80">
        <v>8</v>
      </c>
      <c r="X153" s="46">
        <v>1250</v>
      </c>
      <c r="Y153" s="80">
        <v>8</v>
      </c>
      <c r="Z153" s="46">
        <v>1250</v>
      </c>
      <c r="AA153" s="80">
        <v>8</v>
      </c>
      <c r="AB153" s="46">
        <v>1250</v>
      </c>
      <c r="AC153" s="80">
        <v>8</v>
      </c>
      <c r="AD153" s="46">
        <v>1250</v>
      </c>
      <c r="AE153" s="29"/>
    </row>
    <row r="154" spans="1:32" ht="12" customHeight="1" x14ac:dyDescent="0.2">
      <c r="A154" s="63"/>
      <c r="B154" s="35"/>
      <c r="C154" s="51" t="s">
        <v>196</v>
      </c>
      <c r="D154" s="52">
        <f>G154+I154+K154+M154+O154+Q154+S154+U154+W154+Y154+AA154+AC154</f>
        <v>49080</v>
      </c>
      <c r="E154" s="41" t="s">
        <v>195</v>
      </c>
      <c r="F154" s="42">
        <f>SUM(H154,J154,L154,N154,P154,R154,T154,V154,X154,Z154,AB154,AD154)</f>
        <v>1079760</v>
      </c>
      <c r="G154" s="80">
        <v>4090</v>
      </c>
      <c r="H154" s="46">
        <f>G154*22</f>
        <v>89980</v>
      </c>
      <c r="I154" s="80">
        <v>4090</v>
      </c>
      <c r="J154" s="46">
        <f>I154*22</f>
        <v>89980</v>
      </c>
      <c r="K154" s="80">
        <v>4090</v>
      </c>
      <c r="L154" s="46">
        <f>K154*22</f>
        <v>89980</v>
      </c>
      <c r="M154" s="80">
        <v>4090</v>
      </c>
      <c r="N154" s="46">
        <f>M154*22</f>
        <v>89980</v>
      </c>
      <c r="O154" s="80">
        <v>4090</v>
      </c>
      <c r="P154" s="46">
        <f>O154*22</f>
        <v>89980</v>
      </c>
      <c r="Q154" s="80">
        <v>4090</v>
      </c>
      <c r="R154" s="46">
        <f>Q154*22</f>
        <v>89980</v>
      </c>
      <c r="S154" s="80">
        <v>4090</v>
      </c>
      <c r="T154" s="46">
        <f>S154*22</f>
        <v>89980</v>
      </c>
      <c r="U154" s="80">
        <v>4090</v>
      </c>
      <c r="V154" s="46">
        <f>U154*22</f>
        <v>89980</v>
      </c>
      <c r="W154" s="80">
        <v>4090</v>
      </c>
      <c r="X154" s="46">
        <f>W154*22</f>
        <v>89980</v>
      </c>
      <c r="Y154" s="80">
        <v>4090</v>
      </c>
      <c r="Z154" s="46">
        <f>Y154*22</f>
        <v>89980</v>
      </c>
      <c r="AA154" s="80">
        <v>4090</v>
      </c>
      <c r="AB154" s="46">
        <f>AA154*22</f>
        <v>89980</v>
      </c>
      <c r="AC154" s="80">
        <v>4090</v>
      </c>
      <c r="AD154" s="46">
        <f>AC154*22</f>
        <v>89980</v>
      </c>
      <c r="AE154" s="29"/>
      <c r="AF154">
        <v>22</v>
      </c>
    </row>
    <row r="155" spans="1:32" ht="24.75" customHeight="1" x14ac:dyDescent="0.2">
      <c r="A155" s="67"/>
      <c r="B155" s="30">
        <v>2700</v>
      </c>
      <c r="C155" s="31" t="s">
        <v>197</v>
      </c>
      <c r="D155" s="52"/>
      <c r="E155" s="30"/>
      <c r="F155" s="56">
        <f>SUM(F156,F158)</f>
        <v>18650</v>
      </c>
      <c r="G155" s="55"/>
      <c r="H155" s="56">
        <f>SUM(H156,H158)</f>
        <v>0</v>
      </c>
      <c r="I155" s="55" t="s">
        <v>123</v>
      </c>
      <c r="J155" s="56">
        <f>SUM(J156,J158)</f>
        <v>9950</v>
      </c>
      <c r="K155" s="56"/>
      <c r="L155" s="56">
        <f>SUM(L156,L158)</f>
        <v>8700</v>
      </c>
      <c r="M155" s="56"/>
      <c r="N155" s="56">
        <f>SUM(N156,N158)</f>
        <v>0</v>
      </c>
      <c r="O155" s="56"/>
      <c r="P155" s="56">
        <f>SUM(P156,P158)</f>
        <v>0</v>
      </c>
      <c r="Q155" s="56"/>
      <c r="R155" s="56">
        <f>SUM(R156,R158)</f>
        <v>0</v>
      </c>
      <c r="S155" s="56"/>
      <c r="T155" s="56">
        <f>SUM(T156,T158)</f>
        <v>0</v>
      </c>
      <c r="U155" s="56"/>
      <c r="V155" s="56">
        <f>SUM(V156,V158)</f>
        <v>0</v>
      </c>
      <c r="W155" s="56"/>
      <c r="X155" s="56">
        <f>SUM(X156,X158)</f>
        <v>0</v>
      </c>
      <c r="Y155" s="56"/>
      <c r="Z155" s="56">
        <f>SUM(Z156,Z158)</f>
        <v>0</v>
      </c>
      <c r="AA155" s="56"/>
      <c r="AB155" s="56">
        <f>SUM(AB156,AB158)</f>
        <v>0</v>
      </c>
      <c r="AC155" s="56"/>
      <c r="AD155" s="56">
        <f>SUM(AD156,AD158)</f>
        <v>0</v>
      </c>
      <c r="AE155" s="29"/>
    </row>
    <row r="156" spans="1:32" ht="15" customHeight="1" x14ac:dyDescent="0.2">
      <c r="A156" s="67"/>
      <c r="B156" s="35">
        <v>271</v>
      </c>
      <c r="C156" s="31" t="s">
        <v>198</v>
      </c>
      <c r="D156" s="52"/>
      <c r="E156" s="30"/>
      <c r="F156" s="36">
        <f>F157</f>
        <v>17400</v>
      </c>
      <c r="G156" s="55"/>
      <c r="H156" s="36">
        <f>H157</f>
        <v>0</v>
      </c>
      <c r="I156" s="56"/>
      <c r="J156" s="36">
        <f>J157</f>
        <v>8700</v>
      </c>
      <c r="K156" s="56"/>
      <c r="L156" s="36">
        <f>L157</f>
        <v>8700</v>
      </c>
      <c r="M156" s="56"/>
      <c r="N156" s="36">
        <f>N157</f>
        <v>0</v>
      </c>
      <c r="O156" s="56"/>
      <c r="P156" s="36">
        <f>P157</f>
        <v>0</v>
      </c>
      <c r="Q156" s="56"/>
      <c r="R156" s="36">
        <f>R157</f>
        <v>0</v>
      </c>
      <c r="S156" s="56"/>
      <c r="T156" s="36">
        <f>T157</f>
        <v>0</v>
      </c>
      <c r="U156" s="56"/>
      <c r="V156" s="36">
        <f>V157</f>
        <v>0</v>
      </c>
      <c r="W156" s="56"/>
      <c r="X156" s="36">
        <f>X157</f>
        <v>0</v>
      </c>
      <c r="Y156" s="56"/>
      <c r="Z156" s="36">
        <f>Z157</f>
        <v>0</v>
      </c>
      <c r="AA156" s="56"/>
      <c r="AB156" s="36">
        <f>AB157</f>
        <v>0</v>
      </c>
      <c r="AC156" s="56"/>
      <c r="AD156" s="36">
        <f>AD157</f>
        <v>0</v>
      </c>
      <c r="AE156" s="29"/>
    </row>
    <row r="157" spans="1:32" ht="14.25" customHeight="1" x14ac:dyDescent="0.2">
      <c r="A157" s="67"/>
      <c r="B157" s="35"/>
      <c r="C157" s="51" t="s">
        <v>199</v>
      </c>
      <c r="D157" s="52">
        <f>G157+I157+K157+M157+O157+Q157+S157+U157+W157+Y157+AA157+AC157</f>
        <v>60</v>
      </c>
      <c r="E157" s="41" t="s">
        <v>39</v>
      </c>
      <c r="F157" s="42">
        <f>SUM(H157,J157,L157,N157,P157,R157,T157,V157,X157,Z157,AB157,AD157)</f>
        <v>17400</v>
      </c>
      <c r="G157" s="53">
        <v>0</v>
      </c>
      <c r="H157" s="46"/>
      <c r="I157" s="53">
        <v>30</v>
      </c>
      <c r="J157" s="46">
        <f>I157*AF157</f>
        <v>8700</v>
      </c>
      <c r="K157" s="53">
        <v>30</v>
      </c>
      <c r="L157" s="46">
        <f>K157*AF157</f>
        <v>8700</v>
      </c>
      <c r="M157" s="53">
        <v>0</v>
      </c>
      <c r="N157" s="46">
        <v>0</v>
      </c>
      <c r="O157" s="53">
        <v>0</v>
      </c>
      <c r="P157" s="46">
        <v>0</v>
      </c>
      <c r="Q157" s="53">
        <v>0</v>
      </c>
      <c r="R157" s="46">
        <v>0</v>
      </c>
      <c r="S157" s="53">
        <v>0</v>
      </c>
      <c r="T157" s="46">
        <v>0</v>
      </c>
      <c r="U157" s="53">
        <v>0</v>
      </c>
      <c r="V157" s="46">
        <v>0</v>
      </c>
      <c r="W157" s="53">
        <v>0</v>
      </c>
      <c r="X157" s="46">
        <v>0</v>
      </c>
      <c r="Y157" s="53">
        <v>0</v>
      </c>
      <c r="Z157" s="46">
        <v>0</v>
      </c>
      <c r="AA157" s="53">
        <v>0</v>
      </c>
      <c r="AB157" s="46">
        <v>0</v>
      </c>
      <c r="AC157" s="53">
        <v>0</v>
      </c>
      <c r="AD157" s="46">
        <v>0</v>
      </c>
      <c r="AE157" s="29"/>
      <c r="AF157">
        <v>290</v>
      </c>
    </row>
    <row r="158" spans="1:32" ht="21.75" customHeight="1" x14ac:dyDescent="0.2">
      <c r="A158" s="67"/>
      <c r="B158" s="35">
        <v>272</v>
      </c>
      <c r="C158" s="31" t="s">
        <v>200</v>
      </c>
      <c r="D158" s="52"/>
      <c r="E158" s="41"/>
      <c r="F158" s="36">
        <f>SUM(F159:F160)</f>
        <v>1250</v>
      </c>
      <c r="G158" s="55"/>
      <c r="H158" s="36">
        <f>SUM(H159:H160)</f>
        <v>0</v>
      </c>
      <c r="I158" s="55"/>
      <c r="J158" s="36">
        <f>SUM(J159:J160)</f>
        <v>1250</v>
      </c>
      <c r="K158" s="55"/>
      <c r="L158" s="36">
        <f>SUM(L159:L160)</f>
        <v>0</v>
      </c>
      <c r="M158" s="55"/>
      <c r="N158" s="36">
        <f>SUM(N159:N160)</f>
        <v>0</v>
      </c>
      <c r="O158" s="55"/>
      <c r="P158" s="36">
        <f>SUM(P159:P160)</f>
        <v>0</v>
      </c>
      <c r="Q158" s="55"/>
      <c r="R158" s="36">
        <f>SUM(R159:R160)</f>
        <v>0</v>
      </c>
      <c r="S158" s="55"/>
      <c r="T158" s="36">
        <f>SUM(T159:T160)</f>
        <v>0</v>
      </c>
      <c r="U158" s="55"/>
      <c r="V158" s="36">
        <f>SUM(V159:V160)</f>
        <v>0</v>
      </c>
      <c r="W158" s="55"/>
      <c r="X158" s="36">
        <f>SUM(X159:X160)</f>
        <v>0</v>
      </c>
      <c r="Y158" s="55"/>
      <c r="Z158" s="36">
        <f>SUM(Z159:Z160)</f>
        <v>0</v>
      </c>
      <c r="AA158" s="55"/>
      <c r="AB158" s="36">
        <f>SUM(AB159:AB160)</f>
        <v>0</v>
      </c>
      <c r="AC158" s="55"/>
      <c r="AD158" s="36">
        <f>SUM(AD159:AD160)</f>
        <v>0</v>
      </c>
      <c r="AE158" s="29"/>
    </row>
    <row r="159" spans="1:32" ht="13.5" customHeight="1" x14ac:dyDescent="0.2">
      <c r="A159" s="66"/>
      <c r="B159" s="46"/>
      <c r="C159" s="51" t="s">
        <v>201</v>
      </c>
      <c r="D159" s="52">
        <f>G159+I159+K159+M159+O159+Q159+S159+U159+W159+Y159+AA159+AC159</f>
        <v>3</v>
      </c>
      <c r="E159" s="41" t="s">
        <v>39</v>
      </c>
      <c r="F159" s="42">
        <f>SUM(H159,J159,L159,N159,P159,R159,T159,V159,X159,Z159,AB159,AD159)</f>
        <v>450</v>
      </c>
      <c r="G159" s="53">
        <v>0</v>
      </c>
      <c r="H159" s="46">
        <v>0</v>
      </c>
      <c r="I159" s="53">
        <v>3</v>
      </c>
      <c r="J159" s="46">
        <v>450</v>
      </c>
      <c r="K159" s="53">
        <v>0</v>
      </c>
      <c r="L159" s="46">
        <v>0</v>
      </c>
      <c r="M159" s="53">
        <v>0</v>
      </c>
      <c r="N159" s="46">
        <v>0</v>
      </c>
      <c r="O159" s="53">
        <v>0</v>
      </c>
      <c r="P159" s="46">
        <v>0</v>
      </c>
      <c r="Q159" s="53">
        <v>0</v>
      </c>
      <c r="R159" s="46">
        <v>0</v>
      </c>
      <c r="S159" s="53">
        <v>0</v>
      </c>
      <c r="T159" s="46">
        <v>0</v>
      </c>
      <c r="U159" s="53">
        <v>0</v>
      </c>
      <c r="V159" s="46">
        <v>0</v>
      </c>
      <c r="W159" s="53">
        <v>0</v>
      </c>
      <c r="X159" s="46">
        <v>0</v>
      </c>
      <c r="Y159" s="53">
        <v>0</v>
      </c>
      <c r="Z159" s="46">
        <v>0</v>
      </c>
      <c r="AA159" s="53">
        <v>0</v>
      </c>
      <c r="AB159" s="46">
        <v>0</v>
      </c>
      <c r="AC159" s="53">
        <v>0</v>
      </c>
      <c r="AD159" s="46">
        <v>0</v>
      </c>
      <c r="AE159" s="29"/>
    </row>
    <row r="160" spans="1:32" ht="13.5" customHeight="1" x14ac:dyDescent="0.2">
      <c r="A160" s="67"/>
      <c r="B160" s="35"/>
      <c r="C160" s="51" t="s">
        <v>202</v>
      </c>
      <c r="D160" s="52">
        <f>G160+I160+K160+M160+O160+Q160+S160+U160+W160+Y160+AA160+AC160</f>
        <v>2</v>
      </c>
      <c r="E160" s="41" t="s">
        <v>39</v>
      </c>
      <c r="F160" s="42">
        <f>SUM(H160,J160,L160,N160,P160,R160,T160,V160,X160,Z160,AB160,AD160)</f>
        <v>800</v>
      </c>
      <c r="G160" s="53">
        <v>0</v>
      </c>
      <c r="H160" s="46">
        <v>0</v>
      </c>
      <c r="I160" s="53">
        <v>2</v>
      </c>
      <c r="J160" s="46">
        <v>800</v>
      </c>
      <c r="K160" s="53">
        <v>0</v>
      </c>
      <c r="L160" s="46">
        <v>0</v>
      </c>
      <c r="M160" s="53">
        <v>0</v>
      </c>
      <c r="N160" s="46">
        <v>0</v>
      </c>
      <c r="O160" s="53">
        <v>0</v>
      </c>
      <c r="P160" s="46">
        <v>0</v>
      </c>
      <c r="Q160" s="53">
        <v>0</v>
      </c>
      <c r="R160" s="46">
        <v>0</v>
      </c>
      <c r="S160" s="53">
        <v>0</v>
      </c>
      <c r="T160" s="46">
        <v>0</v>
      </c>
      <c r="U160" s="53">
        <v>0</v>
      </c>
      <c r="V160" s="46">
        <v>0</v>
      </c>
      <c r="W160" s="53">
        <v>0</v>
      </c>
      <c r="X160" s="46">
        <v>0</v>
      </c>
      <c r="Y160" s="53">
        <v>0</v>
      </c>
      <c r="Z160" s="46">
        <v>0</v>
      </c>
      <c r="AA160" s="53">
        <v>0</v>
      </c>
      <c r="AB160" s="46">
        <v>0</v>
      </c>
      <c r="AC160" s="53">
        <v>0</v>
      </c>
      <c r="AD160" s="46">
        <v>0</v>
      </c>
      <c r="AE160" s="29"/>
    </row>
    <row r="161" spans="1:32" ht="25.5" customHeight="1" x14ac:dyDescent="0.2">
      <c r="A161" s="24"/>
      <c r="B161" s="30">
        <v>2900</v>
      </c>
      <c r="C161" s="31" t="s">
        <v>203</v>
      </c>
      <c r="D161" s="52"/>
      <c r="E161" s="30"/>
      <c r="F161" s="56">
        <f>SUM(F162,F172,F175,F177,F195)</f>
        <v>503124.10759999999</v>
      </c>
      <c r="G161" s="56"/>
      <c r="H161" s="56">
        <f>SUM(H162,H172,H175,H177,H195)</f>
        <v>40435.953600000001</v>
      </c>
      <c r="I161" s="56"/>
      <c r="J161" s="56">
        <f>SUM(J162,J172,J175,J177,J195)</f>
        <v>154661.59599999999</v>
      </c>
      <c r="K161" s="56"/>
      <c r="L161" s="56">
        <f>SUM(L162,L172,L175,L177,L195)</f>
        <v>44345.582000000002</v>
      </c>
      <c r="M161" s="56"/>
      <c r="N161" s="56">
        <f>SUM(N162,N172,N175,N177,N195)</f>
        <v>29134.912</v>
      </c>
      <c r="O161" s="56"/>
      <c r="P161" s="56">
        <f>SUM(P162,P172,P175,P177,P195)</f>
        <v>30789.3</v>
      </c>
      <c r="Q161" s="56"/>
      <c r="R161" s="56">
        <f>SUM(R162,R172,R175,R177,R195)</f>
        <v>29026.212</v>
      </c>
      <c r="S161" s="56"/>
      <c r="T161" s="56">
        <f>SUM(T162,T172,T175,T177,T195)</f>
        <v>29206.212</v>
      </c>
      <c r="U161" s="56"/>
      <c r="V161" s="56">
        <f>SUM(V162,V172,V175,V177,V195)</f>
        <v>29026.212</v>
      </c>
      <c r="W161" s="56"/>
      <c r="X161" s="56">
        <f>SUM(X162,X172,X175,X177,X195)</f>
        <v>29166.212</v>
      </c>
      <c r="Y161" s="56"/>
      <c r="Z161" s="56">
        <f>SUM(Z162,Z172,Z175,Z177,Z195)</f>
        <v>29026.212</v>
      </c>
      <c r="AA161" s="56"/>
      <c r="AB161" s="56">
        <f>SUM(AB162,AB172,AB175,AB177,AB195)</f>
        <v>29276.052</v>
      </c>
      <c r="AC161" s="56"/>
      <c r="AD161" s="56">
        <f>SUM(AD162,AD172,AD175,AD177,AD195)</f>
        <v>29029.651999999998</v>
      </c>
      <c r="AE161" s="29"/>
    </row>
    <row r="162" spans="1:32" ht="13.5" customHeight="1" x14ac:dyDescent="0.2">
      <c r="A162" s="24"/>
      <c r="B162" s="35">
        <v>291</v>
      </c>
      <c r="C162" s="31" t="s">
        <v>204</v>
      </c>
      <c r="D162" s="52"/>
      <c r="E162" s="30"/>
      <c r="F162" s="36">
        <f>SUM(F163:F171)</f>
        <v>10750.4712</v>
      </c>
      <c r="G162" s="55"/>
      <c r="H162" s="36">
        <f>SUM(H163:H171)</f>
        <v>8809.7212</v>
      </c>
      <c r="I162" s="56"/>
      <c r="J162" s="36">
        <f>SUM(J163:J171)</f>
        <v>290</v>
      </c>
      <c r="K162" s="56"/>
      <c r="L162" s="36">
        <f>SUM(L163:L171)</f>
        <v>1650.75</v>
      </c>
      <c r="M162" s="56"/>
      <c r="N162" s="36">
        <f>SUM(N163:N171)</f>
        <v>0</v>
      </c>
      <c r="O162" s="56"/>
      <c r="P162" s="36">
        <f>SUM(P163:P171)</f>
        <v>0</v>
      </c>
      <c r="Q162" s="56"/>
      <c r="R162" s="36">
        <f>SUM(R163:R171)</f>
        <v>0</v>
      </c>
      <c r="S162" s="56"/>
      <c r="T162" s="36">
        <f>SUM(T163:T171)</f>
        <v>0</v>
      </c>
      <c r="U162" s="56"/>
      <c r="V162" s="36">
        <f>SUM(V163:V171)</f>
        <v>0</v>
      </c>
      <c r="W162" s="56"/>
      <c r="X162" s="36">
        <f>SUM(X163:X171)</f>
        <v>0</v>
      </c>
      <c r="Y162" s="56"/>
      <c r="Z162" s="36">
        <f>SUM(Z163:Z171)</f>
        <v>0</v>
      </c>
      <c r="AA162" s="56"/>
      <c r="AB162" s="36">
        <f>SUM(AB163:AB171)</f>
        <v>0</v>
      </c>
      <c r="AC162" s="56"/>
      <c r="AD162" s="36">
        <f>SUM(AD163:AD171)</f>
        <v>0</v>
      </c>
      <c r="AE162" s="29"/>
    </row>
    <row r="163" spans="1:32" ht="15.75" customHeight="1" x14ac:dyDescent="0.2">
      <c r="A163" s="24"/>
      <c r="B163" s="35"/>
      <c r="C163" s="51" t="s">
        <v>205</v>
      </c>
      <c r="D163" s="52">
        <f>G163+I163+K163+M163+O163+Q163+S163+U163+W163+Y163+AA163+AC163</f>
        <v>2</v>
      </c>
      <c r="E163" s="41" t="s">
        <v>39</v>
      </c>
      <c r="F163" s="42">
        <f>SUM(H163,J163,L163,N163,O163,R163,T163,V163,X163,Z163,AB163,AD163)</f>
        <v>290</v>
      </c>
      <c r="G163" s="53">
        <v>0</v>
      </c>
      <c r="H163" s="46">
        <v>0</v>
      </c>
      <c r="I163" s="53">
        <v>2</v>
      </c>
      <c r="J163" s="46">
        <v>290</v>
      </c>
      <c r="K163" s="53">
        <v>0</v>
      </c>
      <c r="L163" s="46">
        <v>0</v>
      </c>
      <c r="M163" s="53">
        <v>0</v>
      </c>
      <c r="N163" s="46">
        <v>0</v>
      </c>
      <c r="O163" s="53">
        <v>0</v>
      </c>
      <c r="P163" s="46">
        <v>0</v>
      </c>
      <c r="Q163" s="53">
        <v>0</v>
      </c>
      <c r="R163" s="46">
        <v>0</v>
      </c>
      <c r="S163" s="53">
        <v>0</v>
      </c>
      <c r="T163" s="46">
        <v>0</v>
      </c>
      <c r="U163" s="53">
        <v>0</v>
      </c>
      <c r="V163" s="46">
        <v>0</v>
      </c>
      <c r="W163" s="53">
        <v>0</v>
      </c>
      <c r="X163" s="46">
        <v>0</v>
      </c>
      <c r="Y163" s="53">
        <v>0</v>
      </c>
      <c r="Z163" s="46">
        <v>0</v>
      </c>
      <c r="AA163" s="53">
        <v>0</v>
      </c>
      <c r="AB163" s="46">
        <v>0</v>
      </c>
      <c r="AC163" s="53">
        <v>0</v>
      </c>
      <c r="AD163" s="46">
        <v>0</v>
      </c>
      <c r="AE163" s="29"/>
    </row>
    <row r="164" spans="1:32" ht="74.25" customHeight="1" x14ac:dyDescent="0.2">
      <c r="A164" s="24"/>
      <c r="B164" s="35"/>
      <c r="C164" s="51" t="s">
        <v>206</v>
      </c>
      <c r="D164" s="52">
        <f>G164+I164+K164+M164+O164+Q164+S164+U164+W164+Y164+AA164+AC164</f>
        <v>8</v>
      </c>
      <c r="E164" s="41" t="s">
        <v>39</v>
      </c>
      <c r="F164" s="42">
        <f t="shared" ref="F164:F171" si="56">SUM(H164,J164,L164,N164,P164,R164,T164,V164,X164,Z164,AB164,AD164)</f>
        <v>1650.75</v>
      </c>
      <c r="G164" s="53">
        <v>0</v>
      </c>
      <c r="H164" s="46">
        <v>0</v>
      </c>
      <c r="I164" s="53">
        <v>0</v>
      </c>
      <c r="J164" s="46">
        <v>0</v>
      </c>
      <c r="K164" s="53">
        <v>8</v>
      </c>
      <c r="L164" s="46">
        <v>1650.75</v>
      </c>
      <c r="M164" s="53">
        <v>0</v>
      </c>
      <c r="N164" s="46">
        <v>0</v>
      </c>
      <c r="O164" s="53">
        <v>0</v>
      </c>
      <c r="P164" s="46">
        <v>0</v>
      </c>
      <c r="Q164" s="53">
        <v>0</v>
      </c>
      <c r="R164" s="46">
        <v>0</v>
      </c>
      <c r="S164" s="53">
        <v>0</v>
      </c>
      <c r="T164" s="46">
        <v>0</v>
      </c>
      <c r="U164" s="53">
        <v>0</v>
      </c>
      <c r="V164" s="46">
        <v>0</v>
      </c>
      <c r="W164" s="53">
        <v>0</v>
      </c>
      <c r="X164" s="46">
        <v>0</v>
      </c>
      <c r="Y164" s="53">
        <v>0</v>
      </c>
      <c r="Z164" s="46">
        <v>0</v>
      </c>
      <c r="AA164" s="53">
        <v>0</v>
      </c>
      <c r="AB164" s="46">
        <v>0</v>
      </c>
      <c r="AC164" s="53">
        <v>0</v>
      </c>
      <c r="AD164" s="46">
        <v>0</v>
      </c>
      <c r="AE164" s="29"/>
    </row>
    <row r="165" spans="1:32" ht="20.25" customHeight="1" x14ac:dyDescent="0.2">
      <c r="A165" s="24"/>
      <c r="B165" s="35"/>
      <c r="C165" s="51" t="s">
        <v>207</v>
      </c>
      <c r="D165" s="52">
        <f>G165+I165+K165+M165+O165+Q165+S165+U165+W165+Y165+AA165+AC165</f>
        <v>5</v>
      </c>
      <c r="E165" s="41" t="s">
        <v>39</v>
      </c>
      <c r="F165" s="42">
        <f t="shared" si="56"/>
        <v>4745</v>
      </c>
      <c r="G165" s="53">
        <v>5</v>
      </c>
      <c r="H165" s="46">
        <v>4745</v>
      </c>
      <c r="I165" s="53">
        <v>0</v>
      </c>
      <c r="J165" s="46">
        <f t="shared" ref="J165:J171" si="57">(I165*AF165)*1.16</f>
        <v>0</v>
      </c>
      <c r="K165" s="53">
        <v>0</v>
      </c>
      <c r="L165" s="46">
        <f t="shared" ref="L165:L171" si="58">(K165*AF165)*1.16</f>
        <v>0</v>
      </c>
      <c r="M165" s="53">
        <v>0</v>
      </c>
      <c r="N165" s="46">
        <f t="shared" ref="N165:N171" si="59">(M165*AF165)*1.16</f>
        <v>0</v>
      </c>
      <c r="O165" s="53">
        <v>0</v>
      </c>
      <c r="P165" s="46">
        <f t="shared" ref="P165:P171" si="60">(O165*AF165)*1.16</f>
        <v>0</v>
      </c>
      <c r="Q165" s="53">
        <v>0</v>
      </c>
      <c r="R165" s="46">
        <f t="shared" ref="R165:R171" si="61">(Q165*AF165)*1.16</f>
        <v>0</v>
      </c>
      <c r="S165" s="53">
        <v>0</v>
      </c>
      <c r="T165" s="46">
        <f t="shared" ref="T165:T171" si="62">(S165*AF165)*1.16</f>
        <v>0</v>
      </c>
      <c r="U165" s="53">
        <v>0</v>
      </c>
      <c r="V165" s="46">
        <f t="shared" ref="V165:V171" si="63">(U165*AF165)*1.16</f>
        <v>0</v>
      </c>
      <c r="W165" s="53">
        <v>0</v>
      </c>
      <c r="X165" s="46">
        <f t="shared" ref="X165:X171" si="64">(W165*AF165)*1.16</f>
        <v>0</v>
      </c>
      <c r="Y165" s="53">
        <v>0</v>
      </c>
      <c r="Z165" s="46">
        <f t="shared" ref="Z165:Z171" si="65">(Y165*AF165)*1.16</f>
        <v>0</v>
      </c>
      <c r="AA165" s="53">
        <v>0</v>
      </c>
      <c r="AB165" s="46">
        <f t="shared" ref="AB165:AB171" si="66">(AA165*AF165)*1.16</f>
        <v>0</v>
      </c>
      <c r="AC165" s="53">
        <v>0</v>
      </c>
      <c r="AD165" s="46">
        <f t="shared" ref="AD165:AD171" si="67">(AC165*AF165)*1.16</f>
        <v>0</v>
      </c>
      <c r="AE165" s="29"/>
    </row>
    <row r="166" spans="1:32" ht="19.5" customHeight="1" x14ac:dyDescent="0.2">
      <c r="A166" s="24"/>
      <c r="B166" s="35"/>
      <c r="C166" s="51" t="s">
        <v>208</v>
      </c>
      <c r="D166" s="52">
        <f>G166+I166+K166+M166+O166+Q166+S166+U166+W166+Y166+AA166+AC166</f>
        <v>5</v>
      </c>
      <c r="E166" s="41" t="s">
        <v>39</v>
      </c>
      <c r="F166" s="42">
        <f t="shared" si="56"/>
        <v>1745</v>
      </c>
      <c r="G166" s="53">
        <v>5</v>
      </c>
      <c r="H166" s="46">
        <v>1745</v>
      </c>
      <c r="I166" s="53">
        <v>0</v>
      </c>
      <c r="J166" s="46">
        <f t="shared" si="57"/>
        <v>0</v>
      </c>
      <c r="K166" s="53">
        <v>0</v>
      </c>
      <c r="L166" s="46">
        <f t="shared" si="58"/>
        <v>0</v>
      </c>
      <c r="M166" s="53">
        <v>0</v>
      </c>
      <c r="N166" s="46">
        <f t="shared" si="59"/>
        <v>0</v>
      </c>
      <c r="O166" s="53">
        <v>0</v>
      </c>
      <c r="P166" s="46">
        <f t="shared" si="60"/>
        <v>0</v>
      </c>
      <c r="Q166" s="53">
        <v>0</v>
      </c>
      <c r="R166" s="46">
        <f t="shared" si="61"/>
        <v>0</v>
      </c>
      <c r="S166" s="53">
        <v>0</v>
      </c>
      <c r="T166" s="46">
        <f t="shared" si="62"/>
        <v>0</v>
      </c>
      <c r="U166" s="53">
        <v>0</v>
      </c>
      <c r="V166" s="46">
        <f t="shared" si="63"/>
        <v>0</v>
      </c>
      <c r="W166" s="53">
        <v>0</v>
      </c>
      <c r="X166" s="46">
        <f t="shared" si="64"/>
        <v>0</v>
      </c>
      <c r="Y166" s="53">
        <v>0</v>
      </c>
      <c r="Z166" s="46">
        <f t="shared" si="65"/>
        <v>0</v>
      </c>
      <c r="AA166" s="53">
        <v>0</v>
      </c>
      <c r="AB166" s="46">
        <f t="shared" si="66"/>
        <v>0</v>
      </c>
      <c r="AC166" s="53">
        <v>0</v>
      </c>
      <c r="AD166" s="46">
        <f t="shared" si="67"/>
        <v>0</v>
      </c>
      <c r="AE166" s="29"/>
    </row>
    <row r="167" spans="1:32" ht="17.25" customHeight="1" x14ac:dyDescent="0.2">
      <c r="A167" s="24"/>
      <c r="B167" s="35">
        <v>291</v>
      </c>
      <c r="C167" s="51" t="s">
        <v>209</v>
      </c>
      <c r="D167" s="52">
        <f>G167+I167+K167+M167+O167+Q167+S167+U167+W167+Y167+AA167+AC167</f>
        <v>1</v>
      </c>
      <c r="E167" s="41" t="s">
        <v>39</v>
      </c>
      <c r="F167" s="42">
        <f t="shared" si="56"/>
        <v>546</v>
      </c>
      <c r="G167" s="53">
        <v>1</v>
      </c>
      <c r="H167" s="46">
        <v>546</v>
      </c>
      <c r="I167" s="53">
        <v>0</v>
      </c>
      <c r="J167" s="46">
        <f t="shared" si="57"/>
        <v>0</v>
      </c>
      <c r="K167" s="53">
        <v>0</v>
      </c>
      <c r="L167" s="46">
        <f t="shared" si="58"/>
        <v>0</v>
      </c>
      <c r="M167" s="53">
        <v>0</v>
      </c>
      <c r="N167" s="46">
        <f t="shared" si="59"/>
        <v>0</v>
      </c>
      <c r="O167" s="53">
        <v>0</v>
      </c>
      <c r="P167" s="46">
        <f t="shared" si="60"/>
        <v>0</v>
      </c>
      <c r="Q167" s="53">
        <v>0</v>
      </c>
      <c r="R167" s="46">
        <f t="shared" si="61"/>
        <v>0</v>
      </c>
      <c r="S167" s="53">
        <v>0</v>
      </c>
      <c r="T167" s="46">
        <f t="shared" si="62"/>
        <v>0</v>
      </c>
      <c r="U167" s="53">
        <v>0</v>
      </c>
      <c r="V167" s="46">
        <f t="shared" si="63"/>
        <v>0</v>
      </c>
      <c r="W167" s="53">
        <v>0</v>
      </c>
      <c r="X167" s="46">
        <f t="shared" si="64"/>
        <v>0</v>
      </c>
      <c r="Y167" s="53">
        <v>0</v>
      </c>
      <c r="Z167" s="46">
        <f t="shared" si="65"/>
        <v>0</v>
      </c>
      <c r="AA167" s="53">
        <v>0</v>
      </c>
      <c r="AB167" s="46">
        <f t="shared" si="66"/>
        <v>0</v>
      </c>
      <c r="AC167" s="53">
        <v>0</v>
      </c>
      <c r="AD167" s="46">
        <f t="shared" si="67"/>
        <v>0</v>
      </c>
      <c r="AE167" s="29"/>
      <c r="AF167">
        <v>840</v>
      </c>
    </row>
    <row r="168" spans="1:32" ht="17.25" customHeight="1" x14ac:dyDescent="0.2">
      <c r="A168" s="24"/>
      <c r="B168" s="35">
        <v>291</v>
      </c>
      <c r="C168" s="51" t="s">
        <v>210</v>
      </c>
      <c r="D168" s="52">
        <v>1</v>
      </c>
      <c r="E168" s="41" t="s">
        <v>39</v>
      </c>
      <c r="F168" s="42">
        <f t="shared" si="56"/>
        <v>682.07999999999993</v>
      </c>
      <c r="G168" s="53">
        <v>2</v>
      </c>
      <c r="H168" s="46">
        <f>(G168*AF168)*1.16</f>
        <v>682.07999999999993</v>
      </c>
      <c r="I168" s="53">
        <v>0</v>
      </c>
      <c r="J168" s="46">
        <f t="shared" si="57"/>
        <v>0</v>
      </c>
      <c r="K168" s="53">
        <v>0</v>
      </c>
      <c r="L168" s="46">
        <f t="shared" si="58"/>
        <v>0</v>
      </c>
      <c r="M168" s="53">
        <v>0</v>
      </c>
      <c r="N168" s="46">
        <f t="shared" si="59"/>
        <v>0</v>
      </c>
      <c r="O168" s="53">
        <v>0</v>
      </c>
      <c r="P168" s="46">
        <f t="shared" si="60"/>
        <v>0</v>
      </c>
      <c r="Q168" s="53">
        <v>0</v>
      </c>
      <c r="R168" s="46">
        <f t="shared" si="61"/>
        <v>0</v>
      </c>
      <c r="S168" s="53">
        <v>0</v>
      </c>
      <c r="T168" s="46">
        <f t="shared" si="62"/>
        <v>0</v>
      </c>
      <c r="U168" s="53">
        <v>0</v>
      </c>
      <c r="V168" s="46">
        <f t="shared" si="63"/>
        <v>0</v>
      </c>
      <c r="W168" s="53">
        <v>0</v>
      </c>
      <c r="X168" s="46">
        <f t="shared" si="64"/>
        <v>0</v>
      </c>
      <c r="Y168" s="53">
        <v>0</v>
      </c>
      <c r="Z168" s="46">
        <f t="shared" si="65"/>
        <v>0</v>
      </c>
      <c r="AA168" s="53">
        <v>0</v>
      </c>
      <c r="AB168" s="46">
        <f t="shared" si="66"/>
        <v>0</v>
      </c>
      <c r="AC168" s="53">
        <v>0</v>
      </c>
      <c r="AD168" s="46">
        <f t="shared" si="67"/>
        <v>0</v>
      </c>
      <c r="AE168" s="29"/>
      <c r="AF168">
        <v>294</v>
      </c>
    </row>
    <row r="169" spans="1:32" ht="24" x14ac:dyDescent="0.2">
      <c r="A169" s="24"/>
      <c r="B169" s="35">
        <v>291</v>
      </c>
      <c r="C169" s="51" t="s">
        <v>211</v>
      </c>
      <c r="D169" s="52">
        <f>G169+I169+K169+M169+O169+Q169+S169+U169+W169+Y169+AA169+AC169</f>
        <v>1</v>
      </c>
      <c r="E169" s="41" t="s">
        <v>39</v>
      </c>
      <c r="F169" s="42">
        <f t="shared" si="56"/>
        <v>574.548</v>
      </c>
      <c r="G169" s="53">
        <v>1</v>
      </c>
      <c r="H169" s="46">
        <f>(G169*AF169)*1.16</f>
        <v>574.548</v>
      </c>
      <c r="I169" s="53">
        <v>0</v>
      </c>
      <c r="J169" s="46">
        <f t="shared" si="57"/>
        <v>0</v>
      </c>
      <c r="K169" s="53">
        <v>0</v>
      </c>
      <c r="L169" s="46">
        <f t="shared" si="58"/>
        <v>0</v>
      </c>
      <c r="M169" s="53">
        <v>0</v>
      </c>
      <c r="N169" s="46">
        <f t="shared" si="59"/>
        <v>0</v>
      </c>
      <c r="O169" s="53">
        <v>0</v>
      </c>
      <c r="P169" s="46">
        <f t="shared" si="60"/>
        <v>0</v>
      </c>
      <c r="Q169" s="53">
        <v>0</v>
      </c>
      <c r="R169" s="46">
        <f t="shared" si="61"/>
        <v>0</v>
      </c>
      <c r="S169" s="53">
        <v>0</v>
      </c>
      <c r="T169" s="46">
        <f t="shared" si="62"/>
        <v>0</v>
      </c>
      <c r="U169" s="53">
        <v>0</v>
      </c>
      <c r="V169" s="46">
        <f t="shared" si="63"/>
        <v>0</v>
      </c>
      <c r="W169" s="53">
        <v>0</v>
      </c>
      <c r="X169" s="46">
        <f t="shared" si="64"/>
        <v>0</v>
      </c>
      <c r="Y169" s="53">
        <v>0</v>
      </c>
      <c r="Z169" s="46">
        <f t="shared" si="65"/>
        <v>0</v>
      </c>
      <c r="AA169" s="53">
        <v>0</v>
      </c>
      <c r="AB169" s="46">
        <f t="shared" si="66"/>
        <v>0</v>
      </c>
      <c r="AC169" s="53">
        <v>0</v>
      </c>
      <c r="AD169" s="46">
        <f t="shared" si="67"/>
        <v>0</v>
      </c>
      <c r="AE169" s="29"/>
      <c r="AF169">
        <v>495.3</v>
      </c>
    </row>
    <row r="170" spans="1:32" ht="17.25" customHeight="1" x14ac:dyDescent="0.2">
      <c r="A170" s="24"/>
      <c r="B170" s="35">
        <v>291</v>
      </c>
      <c r="C170" s="51" t="s">
        <v>212</v>
      </c>
      <c r="D170" s="52">
        <f>G170+I170+K170+M170+O170+Q170+S170+U170+W170+Y170+AA170+AC170</f>
        <v>1</v>
      </c>
      <c r="E170" s="41" t="s">
        <v>39</v>
      </c>
      <c r="F170" s="42">
        <f t="shared" si="56"/>
        <v>406.60319999999996</v>
      </c>
      <c r="G170" s="53">
        <v>1</v>
      </c>
      <c r="H170" s="46">
        <f>(G170*AF170)*1.16</f>
        <v>406.60319999999996</v>
      </c>
      <c r="I170" s="53">
        <v>0</v>
      </c>
      <c r="J170" s="46">
        <f t="shared" si="57"/>
        <v>0</v>
      </c>
      <c r="K170" s="53">
        <v>0</v>
      </c>
      <c r="L170" s="46">
        <f t="shared" si="58"/>
        <v>0</v>
      </c>
      <c r="M170" s="53">
        <v>0</v>
      </c>
      <c r="N170" s="46">
        <f t="shared" si="59"/>
        <v>0</v>
      </c>
      <c r="O170" s="53">
        <v>0</v>
      </c>
      <c r="P170" s="46">
        <f t="shared" si="60"/>
        <v>0</v>
      </c>
      <c r="Q170" s="53">
        <v>0</v>
      </c>
      <c r="R170" s="46">
        <f t="shared" si="61"/>
        <v>0</v>
      </c>
      <c r="S170" s="53">
        <v>0</v>
      </c>
      <c r="T170" s="46">
        <f t="shared" si="62"/>
        <v>0</v>
      </c>
      <c r="U170" s="53">
        <v>0</v>
      </c>
      <c r="V170" s="46">
        <f t="shared" si="63"/>
        <v>0</v>
      </c>
      <c r="W170" s="53">
        <v>0</v>
      </c>
      <c r="X170" s="46">
        <f t="shared" si="64"/>
        <v>0</v>
      </c>
      <c r="Y170" s="53">
        <v>0</v>
      </c>
      <c r="Z170" s="46">
        <f t="shared" si="65"/>
        <v>0</v>
      </c>
      <c r="AA170" s="53">
        <v>0</v>
      </c>
      <c r="AB170" s="46">
        <f t="shared" si="66"/>
        <v>0</v>
      </c>
      <c r="AC170" s="53">
        <v>0</v>
      </c>
      <c r="AD170" s="46">
        <f t="shared" si="67"/>
        <v>0</v>
      </c>
      <c r="AE170" s="29"/>
      <c r="AF170">
        <v>350.52</v>
      </c>
    </row>
    <row r="171" spans="1:32" ht="17.25" customHeight="1" x14ac:dyDescent="0.2">
      <c r="A171" s="24"/>
      <c r="B171" s="35">
        <v>291</v>
      </c>
      <c r="C171" s="51" t="s">
        <v>213</v>
      </c>
      <c r="D171" s="52">
        <f>G171+I171+K171+M171+O171+Q171+S171+U171+W171+Y171+AA171+AC171</f>
        <v>3</v>
      </c>
      <c r="E171" s="41" t="s">
        <v>39</v>
      </c>
      <c r="F171" s="42">
        <f t="shared" si="56"/>
        <v>110.49</v>
      </c>
      <c r="G171" s="53">
        <v>3</v>
      </c>
      <c r="H171" s="46">
        <f>(G171*AF171)*1.16</f>
        <v>110.49</v>
      </c>
      <c r="I171" s="53">
        <v>0</v>
      </c>
      <c r="J171" s="46">
        <f t="shared" si="57"/>
        <v>0</v>
      </c>
      <c r="K171" s="53">
        <v>0</v>
      </c>
      <c r="L171" s="46">
        <f t="shared" si="58"/>
        <v>0</v>
      </c>
      <c r="M171" s="53">
        <v>0</v>
      </c>
      <c r="N171" s="46">
        <f t="shared" si="59"/>
        <v>0</v>
      </c>
      <c r="O171" s="53">
        <v>0</v>
      </c>
      <c r="P171" s="46">
        <f t="shared" si="60"/>
        <v>0</v>
      </c>
      <c r="Q171" s="53">
        <v>0</v>
      </c>
      <c r="R171" s="46">
        <f t="shared" si="61"/>
        <v>0</v>
      </c>
      <c r="S171" s="53">
        <v>0</v>
      </c>
      <c r="T171" s="46">
        <f t="shared" si="62"/>
        <v>0</v>
      </c>
      <c r="U171" s="53">
        <v>0</v>
      </c>
      <c r="V171" s="46">
        <f t="shared" si="63"/>
        <v>0</v>
      </c>
      <c r="W171" s="53">
        <v>0</v>
      </c>
      <c r="X171" s="46">
        <f t="shared" si="64"/>
        <v>0</v>
      </c>
      <c r="Y171" s="53">
        <v>0</v>
      </c>
      <c r="Z171" s="46">
        <f t="shared" si="65"/>
        <v>0</v>
      </c>
      <c r="AA171" s="53">
        <v>0</v>
      </c>
      <c r="AB171" s="46">
        <f t="shared" si="66"/>
        <v>0</v>
      </c>
      <c r="AC171" s="53">
        <v>0</v>
      </c>
      <c r="AD171" s="46">
        <f t="shared" si="67"/>
        <v>0</v>
      </c>
      <c r="AE171" s="29"/>
      <c r="AF171">
        <v>31.75</v>
      </c>
    </row>
    <row r="172" spans="1:32" ht="25.5" customHeight="1" x14ac:dyDescent="0.2">
      <c r="A172" s="24"/>
      <c r="B172" s="35">
        <v>292</v>
      </c>
      <c r="C172" s="31" t="s">
        <v>214</v>
      </c>
      <c r="D172" s="52"/>
      <c r="E172" s="30"/>
      <c r="F172" s="36">
        <f>SUM(F173:F174)</f>
        <v>1390</v>
      </c>
      <c r="G172" s="55"/>
      <c r="H172" s="36">
        <f>SUM(H173:H174)</f>
        <v>0</v>
      </c>
      <c r="I172" s="56"/>
      <c r="J172" s="36">
        <f>SUM(J173:J174)</f>
        <v>0</v>
      </c>
      <c r="K172" s="56"/>
      <c r="L172" s="36">
        <f>SUM(L173:L174)</f>
        <v>960</v>
      </c>
      <c r="M172" s="56"/>
      <c r="N172" s="36">
        <f>SUM(N173:N174)</f>
        <v>0</v>
      </c>
      <c r="O172" s="56"/>
      <c r="P172" s="36">
        <f>SUM(P173:P174)</f>
        <v>0</v>
      </c>
      <c r="Q172" s="56"/>
      <c r="R172" s="36">
        <f>SUM(R173:R174)</f>
        <v>0</v>
      </c>
      <c r="S172" s="56"/>
      <c r="T172" s="36">
        <f>SUM(T173:T174)</f>
        <v>180</v>
      </c>
      <c r="U172" s="56"/>
      <c r="V172" s="36">
        <f>SUM(V173:V174)</f>
        <v>0</v>
      </c>
      <c r="W172" s="56"/>
      <c r="X172" s="36">
        <f>SUM(X173:X174)</f>
        <v>0</v>
      </c>
      <c r="Y172" s="56"/>
      <c r="Z172" s="36">
        <f>SUM(Z173:Z174)</f>
        <v>0</v>
      </c>
      <c r="AA172" s="56"/>
      <c r="AB172" s="36">
        <f>SUM(AB173:AB174)</f>
        <v>250</v>
      </c>
      <c r="AC172" s="56"/>
      <c r="AD172" s="36">
        <f>SUM(AD173:AD174)</f>
        <v>0</v>
      </c>
      <c r="AE172" s="29"/>
    </row>
    <row r="173" spans="1:32" ht="15" customHeight="1" x14ac:dyDescent="0.2">
      <c r="A173" s="24"/>
      <c r="B173" s="35"/>
      <c r="C173" s="51" t="s">
        <v>215</v>
      </c>
      <c r="D173" s="52">
        <f>G173+I173+K173+M173+O173+Q173+S173+U173+W173+Y173+AA173+AC173</f>
        <v>4</v>
      </c>
      <c r="E173" s="41" t="s">
        <v>39</v>
      </c>
      <c r="F173" s="42">
        <f>SUM(H173,J173,L173,N173,P173,R173,T173,V173,X173,Z173,AB173,AD173)</f>
        <v>850</v>
      </c>
      <c r="G173" s="53">
        <v>0</v>
      </c>
      <c r="H173" s="46">
        <v>0</v>
      </c>
      <c r="I173" s="53">
        <v>0</v>
      </c>
      <c r="J173" s="46">
        <v>0</v>
      </c>
      <c r="K173" s="53">
        <v>3</v>
      </c>
      <c r="L173" s="46">
        <f>K173*200</f>
        <v>600</v>
      </c>
      <c r="M173" s="53">
        <v>0</v>
      </c>
      <c r="N173" s="46">
        <v>0</v>
      </c>
      <c r="O173" s="53">
        <v>0</v>
      </c>
      <c r="P173" s="46">
        <v>0</v>
      </c>
      <c r="Q173" s="53">
        <v>0</v>
      </c>
      <c r="R173" s="46">
        <v>0</v>
      </c>
      <c r="S173" s="53">
        <v>0</v>
      </c>
      <c r="T173" s="46">
        <v>0</v>
      </c>
      <c r="U173" s="53">
        <v>0</v>
      </c>
      <c r="V173" s="46">
        <v>0</v>
      </c>
      <c r="W173" s="53">
        <v>0</v>
      </c>
      <c r="X173" s="46">
        <v>0</v>
      </c>
      <c r="Y173" s="53">
        <v>0</v>
      </c>
      <c r="Z173" s="46">
        <v>0</v>
      </c>
      <c r="AA173" s="53">
        <v>1</v>
      </c>
      <c r="AB173" s="46">
        <v>250</v>
      </c>
      <c r="AC173" s="53">
        <v>0</v>
      </c>
      <c r="AD173" s="46">
        <v>0</v>
      </c>
      <c r="AE173" s="29"/>
    </row>
    <row r="174" spans="1:32" ht="13.5" customHeight="1" x14ac:dyDescent="0.2">
      <c r="A174" s="24"/>
      <c r="B174" s="35"/>
      <c r="C174" s="51" t="s">
        <v>216</v>
      </c>
      <c r="D174" s="52">
        <f>G174+I174+K174+M174+O174+Q174+S174+U174+W174+Y174+AA174+AC174</f>
        <v>3</v>
      </c>
      <c r="E174" s="41" t="s">
        <v>39</v>
      </c>
      <c r="F174" s="42">
        <f>SUM(H174,J174,L174,N174,P174,R174,T174,V174,X174,Z174,AB174,AD174)</f>
        <v>540</v>
      </c>
      <c r="G174" s="53">
        <v>0</v>
      </c>
      <c r="H174" s="46">
        <v>0</v>
      </c>
      <c r="I174" s="53">
        <v>0</v>
      </c>
      <c r="J174" s="46">
        <v>0</v>
      </c>
      <c r="K174" s="53">
        <v>2</v>
      </c>
      <c r="L174" s="46">
        <f>K174*180</f>
        <v>360</v>
      </c>
      <c r="M174" s="53">
        <v>0</v>
      </c>
      <c r="N174" s="46">
        <v>0</v>
      </c>
      <c r="O174" s="53">
        <v>0</v>
      </c>
      <c r="P174" s="46">
        <v>0</v>
      </c>
      <c r="Q174" s="53">
        <v>0</v>
      </c>
      <c r="R174" s="46">
        <v>0</v>
      </c>
      <c r="S174" s="53">
        <v>1</v>
      </c>
      <c r="T174" s="46">
        <f>S174*180</f>
        <v>180</v>
      </c>
      <c r="U174" s="53">
        <v>0</v>
      </c>
      <c r="V174" s="46">
        <v>0</v>
      </c>
      <c r="W174" s="53">
        <v>0</v>
      </c>
      <c r="X174" s="46">
        <v>0</v>
      </c>
      <c r="Y174" s="53">
        <v>0</v>
      </c>
      <c r="Z174" s="46">
        <v>0</v>
      </c>
      <c r="AA174" s="53">
        <v>0</v>
      </c>
      <c r="AB174" s="46">
        <v>0</v>
      </c>
      <c r="AC174" s="53">
        <v>0</v>
      </c>
      <c r="AD174" s="46">
        <v>0</v>
      </c>
      <c r="AE174" s="29"/>
    </row>
    <row r="175" spans="1:32" ht="36.75" customHeight="1" x14ac:dyDescent="0.2">
      <c r="A175" s="24"/>
      <c r="B175" s="35">
        <v>293</v>
      </c>
      <c r="C175" s="31" t="s">
        <v>217</v>
      </c>
      <c r="D175" s="52"/>
      <c r="E175" s="30"/>
      <c r="F175" s="36">
        <f>SUM(F176:F176)</f>
        <v>560</v>
      </c>
      <c r="G175" s="55"/>
      <c r="H175" s="36">
        <f>SUM(H176:H176)</f>
        <v>0</v>
      </c>
      <c r="I175" s="56"/>
      <c r="J175" s="36">
        <f>SUM(J176:J176)</f>
        <v>280</v>
      </c>
      <c r="K175" s="56"/>
      <c r="L175" s="36">
        <f>SUM(L176:L176)</f>
        <v>0</v>
      </c>
      <c r="M175" s="56"/>
      <c r="N175" s="36">
        <f>SUM(N176:N176)</f>
        <v>0</v>
      </c>
      <c r="O175" s="56"/>
      <c r="P175" s="36">
        <f>SUM(P176:P176)</f>
        <v>140</v>
      </c>
      <c r="Q175" s="56"/>
      <c r="R175" s="36">
        <f>SUM(R176:R176)</f>
        <v>0</v>
      </c>
      <c r="S175" s="56"/>
      <c r="T175" s="36">
        <f>SUM(T176:T176)</f>
        <v>0</v>
      </c>
      <c r="U175" s="56"/>
      <c r="V175" s="36">
        <f>SUM(V176:V176)</f>
        <v>0</v>
      </c>
      <c r="W175" s="56"/>
      <c r="X175" s="36">
        <f>SUM(X176:X176)</f>
        <v>140</v>
      </c>
      <c r="Y175" s="56"/>
      <c r="Z175" s="36">
        <f>SUM(Z176:Z176)</f>
        <v>0</v>
      </c>
      <c r="AA175" s="56"/>
      <c r="AB175" s="36">
        <f>SUM(AB176:AB176)</f>
        <v>0</v>
      </c>
      <c r="AC175" s="56"/>
      <c r="AD175" s="36">
        <f>SUM(AD176:AD176)</f>
        <v>0</v>
      </c>
      <c r="AE175" s="29"/>
    </row>
    <row r="176" spans="1:32" ht="16.5" customHeight="1" x14ac:dyDescent="0.2">
      <c r="A176" s="24"/>
      <c r="B176" s="35"/>
      <c r="C176" s="51" t="s">
        <v>218</v>
      </c>
      <c r="D176" s="52">
        <f>G176+I176+K176+M176+O176+Q176+S176+U176+W176+Y176+AA176+AC176</f>
        <v>4</v>
      </c>
      <c r="E176" s="41" t="s">
        <v>63</v>
      </c>
      <c r="F176" s="42">
        <f>SUM(H176,J176,L176,N176,P176,R176,T176,V176,X176,Z176,AB176,AD176)</f>
        <v>560</v>
      </c>
      <c r="G176" s="53">
        <v>0</v>
      </c>
      <c r="H176" s="46">
        <v>0</v>
      </c>
      <c r="I176" s="53">
        <v>2</v>
      </c>
      <c r="J176" s="46">
        <f>I176*140</f>
        <v>280</v>
      </c>
      <c r="K176" s="53">
        <v>0</v>
      </c>
      <c r="L176" s="46">
        <v>0</v>
      </c>
      <c r="M176" s="53">
        <v>0</v>
      </c>
      <c r="N176" s="46">
        <v>0</v>
      </c>
      <c r="O176" s="53">
        <v>1</v>
      </c>
      <c r="P176" s="46">
        <f>O176*140</f>
        <v>140</v>
      </c>
      <c r="Q176" s="53">
        <v>0</v>
      </c>
      <c r="R176" s="46">
        <v>0</v>
      </c>
      <c r="S176" s="53">
        <v>0</v>
      </c>
      <c r="T176" s="46">
        <v>0</v>
      </c>
      <c r="U176" s="53">
        <v>0</v>
      </c>
      <c r="V176" s="46">
        <v>0</v>
      </c>
      <c r="W176" s="53">
        <v>1</v>
      </c>
      <c r="X176" s="46">
        <f>W176*140</f>
        <v>140</v>
      </c>
      <c r="Y176" s="53">
        <v>0</v>
      </c>
      <c r="Z176" s="46">
        <v>0</v>
      </c>
      <c r="AA176" s="53">
        <v>0</v>
      </c>
      <c r="AB176" s="46">
        <v>0</v>
      </c>
      <c r="AC176" s="53">
        <v>0</v>
      </c>
      <c r="AD176" s="46">
        <v>0</v>
      </c>
      <c r="AE176" s="29"/>
    </row>
    <row r="177" spans="1:32" ht="35.25" customHeight="1" x14ac:dyDescent="0.2">
      <c r="A177" s="24"/>
      <c r="B177" s="35">
        <v>294</v>
      </c>
      <c r="C177" s="31" t="s">
        <v>219</v>
      </c>
      <c r="D177" s="52"/>
      <c r="E177" s="30"/>
      <c r="F177" s="36">
        <f>SUM(F178:F194)</f>
        <v>145257.71639999998</v>
      </c>
      <c r="G177" s="55"/>
      <c r="H177" s="36">
        <f>SUM(H178:H194)</f>
        <v>3363.8723999999997</v>
      </c>
      <c r="I177" s="56"/>
      <c r="J177" s="36">
        <f>SUM(J178:J194)</f>
        <v>125829.23599999999</v>
      </c>
      <c r="K177" s="56"/>
      <c r="L177" s="36">
        <f>SUM(L178:L194)</f>
        <v>13472.472</v>
      </c>
      <c r="M177" s="56"/>
      <c r="N177" s="36">
        <f>SUM(N178:N194)</f>
        <v>872.55199999999991</v>
      </c>
      <c r="O177" s="56"/>
      <c r="P177" s="36">
        <f>SUM(P178:P194)</f>
        <v>1628.64</v>
      </c>
      <c r="Q177" s="56"/>
      <c r="R177" s="36">
        <f>SUM(R178:R194)</f>
        <v>12.991999999999999</v>
      </c>
      <c r="S177" s="56"/>
      <c r="T177" s="36">
        <f>SUM(T178:T194)</f>
        <v>12.991999999999999</v>
      </c>
      <c r="U177" s="56"/>
      <c r="V177" s="36">
        <f>SUM(V178:V194)</f>
        <v>12.991999999999999</v>
      </c>
      <c r="W177" s="56"/>
      <c r="X177" s="36">
        <f>SUM(X178:X194)</f>
        <v>12.991999999999999</v>
      </c>
      <c r="Y177" s="56"/>
      <c r="Z177" s="36">
        <f>SUM(Z178:Z194)</f>
        <v>12.991999999999999</v>
      </c>
      <c r="AA177" s="56"/>
      <c r="AB177" s="36">
        <f>SUM(AB178:AB194)</f>
        <v>12.991999999999999</v>
      </c>
      <c r="AC177" s="56"/>
      <c r="AD177" s="36">
        <f>SUM(AD178:AD194)</f>
        <v>12.991999999999999</v>
      </c>
      <c r="AE177" s="29"/>
    </row>
    <row r="178" spans="1:32" ht="14.25" customHeight="1" x14ac:dyDescent="0.2">
      <c r="A178" s="24"/>
      <c r="B178" s="35"/>
      <c r="C178" s="51" t="s">
        <v>220</v>
      </c>
      <c r="D178" s="52">
        <f t="shared" ref="D178:D194" si="68">G178+I178+K178+M178+O178+Q178+S178+U178+W178+Y178+AA178+AC178</f>
        <v>103</v>
      </c>
      <c r="E178" s="41" t="s">
        <v>39</v>
      </c>
      <c r="F178" s="42">
        <f t="shared" ref="F178:F194" si="69">SUM(H178,J178,L178,N178,P178,R178,T178,V178,X178,Z178,AB178,AD178)</f>
        <v>167.27199999999996</v>
      </c>
      <c r="G178" s="53">
        <v>11</v>
      </c>
      <c r="H178" s="46">
        <f t="shared" ref="H178:H194" si="70">(G178*AF178)*1.16</f>
        <v>17.863999999999997</v>
      </c>
      <c r="I178" s="53">
        <v>10</v>
      </c>
      <c r="J178" s="46">
        <f>(I178*AF178)*1.16</f>
        <v>16.239999999999998</v>
      </c>
      <c r="K178" s="53">
        <v>8</v>
      </c>
      <c r="L178" s="46">
        <f t="shared" ref="L178:L194" si="71">(K178*AF178)*1.16</f>
        <v>12.991999999999999</v>
      </c>
      <c r="M178" s="53">
        <v>8</v>
      </c>
      <c r="N178" s="46">
        <f t="shared" ref="N178:N194" si="72">(M178*AF178)*1.16</f>
        <v>12.991999999999999</v>
      </c>
      <c r="O178" s="53">
        <v>10</v>
      </c>
      <c r="P178" s="46">
        <f>(O178*AF178)*1.16</f>
        <v>16.239999999999998</v>
      </c>
      <c r="Q178" s="53">
        <v>8</v>
      </c>
      <c r="R178" s="46">
        <f t="shared" ref="R178:R194" si="73">(Q178*AF178)*1.16</f>
        <v>12.991999999999999</v>
      </c>
      <c r="S178" s="53">
        <v>8</v>
      </c>
      <c r="T178" s="46">
        <f t="shared" ref="T178:T194" si="74">(S178*AF178)*1.16</f>
        <v>12.991999999999999</v>
      </c>
      <c r="U178" s="53">
        <v>8</v>
      </c>
      <c r="V178" s="46">
        <f t="shared" ref="V178:V194" si="75">(U178*AF178)*1.16</f>
        <v>12.991999999999999</v>
      </c>
      <c r="W178" s="53">
        <v>8</v>
      </c>
      <c r="X178" s="46">
        <f t="shared" ref="X178:X194" si="76">(W178*AF178)*1.16</f>
        <v>12.991999999999999</v>
      </c>
      <c r="Y178" s="53">
        <v>8</v>
      </c>
      <c r="Z178" s="46">
        <f t="shared" ref="Z178:Z194" si="77">(Y178*AF178)*1.16</f>
        <v>12.991999999999999</v>
      </c>
      <c r="AA178" s="53">
        <v>8</v>
      </c>
      <c r="AB178" s="46">
        <f t="shared" ref="AB178:AB194" si="78">(AA178*AF178)*1.16</f>
        <v>12.991999999999999</v>
      </c>
      <c r="AC178" s="53">
        <v>8</v>
      </c>
      <c r="AD178" s="46">
        <f t="shared" ref="AD178:AD194" si="79">(AC178*AF178)*1.16</f>
        <v>12.991999999999999</v>
      </c>
      <c r="AE178" s="29"/>
      <c r="AF178">
        <v>1.4</v>
      </c>
    </row>
    <row r="179" spans="1:32" ht="25.7" customHeight="1" x14ac:dyDescent="0.2">
      <c r="A179" s="24"/>
      <c r="B179" s="35"/>
      <c r="C179" s="51" t="s">
        <v>221</v>
      </c>
      <c r="D179" s="52">
        <f t="shared" si="68"/>
        <v>3</v>
      </c>
      <c r="E179" s="41" t="s">
        <v>39</v>
      </c>
      <c r="F179" s="42">
        <f t="shared" si="69"/>
        <v>504.59999999999997</v>
      </c>
      <c r="G179" s="53">
        <v>2</v>
      </c>
      <c r="H179" s="46">
        <f t="shared" si="70"/>
        <v>336.4</v>
      </c>
      <c r="I179" s="53">
        <v>0</v>
      </c>
      <c r="J179" s="46">
        <f>(I179*AF179)*1.16</f>
        <v>0</v>
      </c>
      <c r="K179" s="53">
        <v>0</v>
      </c>
      <c r="L179" s="46">
        <f t="shared" si="71"/>
        <v>0</v>
      </c>
      <c r="M179" s="53">
        <v>1</v>
      </c>
      <c r="N179" s="46">
        <f t="shared" si="72"/>
        <v>168.2</v>
      </c>
      <c r="O179" s="53">
        <v>0</v>
      </c>
      <c r="P179" s="46">
        <f>(O179*AF179)*1.16</f>
        <v>0</v>
      </c>
      <c r="Q179" s="53">
        <v>0</v>
      </c>
      <c r="R179" s="46">
        <f t="shared" si="73"/>
        <v>0</v>
      </c>
      <c r="S179" s="53">
        <v>0</v>
      </c>
      <c r="T179" s="46">
        <f t="shared" si="74"/>
        <v>0</v>
      </c>
      <c r="U179" s="53">
        <v>0</v>
      </c>
      <c r="V179" s="46">
        <f t="shared" si="75"/>
        <v>0</v>
      </c>
      <c r="W179" s="53">
        <v>0</v>
      </c>
      <c r="X179" s="46">
        <f t="shared" si="76"/>
        <v>0</v>
      </c>
      <c r="Y179" s="53">
        <v>0</v>
      </c>
      <c r="Z179" s="46">
        <f t="shared" si="77"/>
        <v>0</v>
      </c>
      <c r="AA179" s="53">
        <v>0</v>
      </c>
      <c r="AB179" s="46">
        <f t="shared" si="78"/>
        <v>0</v>
      </c>
      <c r="AC179" s="53">
        <v>0</v>
      </c>
      <c r="AD179" s="46">
        <f t="shared" si="79"/>
        <v>0</v>
      </c>
      <c r="AE179" s="29"/>
      <c r="AF179">
        <v>145</v>
      </c>
    </row>
    <row r="180" spans="1:32" ht="14.25" customHeight="1" x14ac:dyDescent="0.2">
      <c r="A180" s="24"/>
      <c r="B180" s="35"/>
      <c r="C180" s="51" t="s">
        <v>222</v>
      </c>
      <c r="D180" s="52">
        <f t="shared" si="68"/>
        <v>20</v>
      </c>
      <c r="E180" s="41" t="s">
        <v>39</v>
      </c>
      <c r="F180" s="42">
        <f t="shared" si="69"/>
        <v>3224.8</v>
      </c>
      <c r="G180" s="53">
        <v>0</v>
      </c>
      <c r="H180" s="46">
        <f t="shared" si="70"/>
        <v>0</v>
      </c>
      <c r="I180" s="53">
        <v>10</v>
      </c>
      <c r="J180" s="46">
        <v>1612.4</v>
      </c>
      <c r="K180" s="53">
        <v>0</v>
      </c>
      <c r="L180" s="46">
        <f t="shared" si="71"/>
        <v>0</v>
      </c>
      <c r="M180" s="53">
        <v>0</v>
      </c>
      <c r="N180" s="46">
        <f t="shared" si="72"/>
        <v>0</v>
      </c>
      <c r="O180" s="53">
        <v>10</v>
      </c>
      <c r="P180" s="46">
        <v>1612.4</v>
      </c>
      <c r="Q180" s="53">
        <v>0</v>
      </c>
      <c r="R180" s="46">
        <f t="shared" si="73"/>
        <v>0</v>
      </c>
      <c r="S180" s="53">
        <v>0</v>
      </c>
      <c r="T180" s="46">
        <f t="shared" si="74"/>
        <v>0</v>
      </c>
      <c r="U180" s="53">
        <v>0</v>
      </c>
      <c r="V180" s="46">
        <f t="shared" si="75"/>
        <v>0</v>
      </c>
      <c r="W180" s="53">
        <v>0</v>
      </c>
      <c r="X180" s="46">
        <f t="shared" si="76"/>
        <v>0</v>
      </c>
      <c r="Y180" s="53">
        <v>0</v>
      </c>
      <c r="Z180" s="46">
        <f t="shared" si="77"/>
        <v>0</v>
      </c>
      <c r="AA180" s="53">
        <v>0</v>
      </c>
      <c r="AB180" s="46">
        <f t="shared" si="78"/>
        <v>0</v>
      </c>
      <c r="AC180" s="53">
        <v>0</v>
      </c>
      <c r="AD180" s="46">
        <f t="shared" si="79"/>
        <v>0</v>
      </c>
      <c r="AE180" s="29"/>
    </row>
    <row r="181" spans="1:32" ht="14.25" customHeight="1" x14ac:dyDescent="0.2">
      <c r="A181" s="24"/>
      <c r="B181" s="35"/>
      <c r="C181" s="51" t="s">
        <v>223</v>
      </c>
      <c r="D181" s="52">
        <f t="shared" si="68"/>
        <v>1</v>
      </c>
      <c r="E181" s="41" t="s">
        <v>224</v>
      </c>
      <c r="F181" s="42">
        <f t="shared" si="69"/>
        <v>2122.7999999999997</v>
      </c>
      <c r="G181" s="53">
        <v>0</v>
      </c>
      <c r="H181" s="46">
        <f t="shared" si="70"/>
        <v>0</v>
      </c>
      <c r="I181" s="53">
        <v>1</v>
      </c>
      <c r="J181" s="46">
        <f t="shared" ref="J181:J193" si="80">(I181*AF181)*1.16</f>
        <v>2122.7999999999997</v>
      </c>
      <c r="K181" s="53">
        <v>0</v>
      </c>
      <c r="L181" s="46">
        <f t="shared" si="71"/>
        <v>0</v>
      </c>
      <c r="M181" s="53">
        <v>0</v>
      </c>
      <c r="N181" s="46">
        <f t="shared" si="72"/>
        <v>0</v>
      </c>
      <c r="O181" s="53">
        <v>0</v>
      </c>
      <c r="P181" s="46">
        <f t="shared" ref="P181:P194" si="81">(O181*AF181)*1.16</f>
        <v>0</v>
      </c>
      <c r="Q181" s="53">
        <v>0</v>
      </c>
      <c r="R181" s="46">
        <f t="shared" si="73"/>
        <v>0</v>
      </c>
      <c r="S181" s="53">
        <v>0</v>
      </c>
      <c r="T181" s="46">
        <f t="shared" si="74"/>
        <v>0</v>
      </c>
      <c r="U181" s="53">
        <v>0</v>
      </c>
      <c r="V181" s="46">
        <f t="shared" si="75"/>
        <v>0</v>
      </c>
      <c r="W181" s="53">
        <v>0</v>
      </c>
      <c r="X181" s="46">
        <f t="shared" si="76"/>
        <v>0</v>
      </c>
      <c r="Y181" s="53">
        <v>0</v>
      </c>
      <c r="Z181" s="46">
        <f t="shared" si="77"/>
        <v>0</v>
      </c>
      <c r="AA181" s="53">
        <v>0</v>
      </c>
      <c r="AB181" s="46">
        <f t="shared" si="78"/>
        <v>0</v>
      </c>
      <c r="AC181" s="53">
        <v>0</v>
      </c>
      <c r="AD181" s="46">
        <f t="shared" si="79"/>
        <v>0</v>
      </c>
      <c r="AE181" s="29"/>
      <c r="AF181">
        <v>1830</v>
      </c>
    </row>
    <row r="182" spans="1:32" ht="14.25" customHeight="1" x14ac:dyDescent="0.2">
      <c r="A182" s="24"/>
      <c r="B182" s="35"/>
      <c r="C182" s="51" t="s">
        <v>225</v>
      </c>
      <c r="D182" s="52">
        <f t="shared" si="68"/>
        <v>2</v>
      </c>
      <c r="E182" s="41" t="s">
        <v>39</v>
      </c>
      <c r="F182" s="42">
        <f t="shared" si="69"/>
        <v>229.67999999999998</v>
      </c>
      <c r="G182" s="53">
        <v>2</v>
      </c>
      <c r="H182" s="46">
        <f t="shared" si="70"/>
        <v>229.67999999999998</v>
      </c>
      <c r="I182" s="53">
        <v>0</v>
      </c>
      <c r="J182" s="46">
        <f t="shared" si="80"/>
        <v>0</v>
      </c>
      <c r="K182" s="53">
        <v>0</v>
      </c>
      <c r="L182" s="46">
        <f t="shared" si="71"/>
        <v>0</v>
      </c>
      <c r="M182" s="53">
        <v>0</v>
      </c>
      <c r="N182" s="46">
        <f t="shared" si="72"/>
        <v>0</v>
      </c>
      <c r="O182" s="53">
        <v>0</v>
      </c>
      <c r="P182" s="46">
        <f t="shared" si="81"/>
        <v>0</v>
      </c>
      <c r="Q182" s="53">
        <v>0</v>
      </c>
      <c r="R182" s="46">
        <f t="shared" si="73"/>
        <v>0</v>
      </c>
      <c r="S182" s="53">
        <v>0</v>
      </c>
      <c r="T182" s="46">
        <f t="shared" si="74"/>
        <v>0</v>
      </c>
      <c r="U182" s="53">
        <v>0</v>
      </c>
      <c r="V182" s="46">
        <f t="shared" si="75"/>
        <v>0</v>
      </c>
      <c r="W182" s="53">
        <v>0</v>
      </c>
      <c r="X182" s="46">
        <f t="shared" si="76"/>
        <v>0</v>
      </c>
      <c r="Y182" s="53">
        <v>0</v>
      </c>
      <c r="Z182" s="46">
        <f t="shared" si="77"/>
        <v>0</v>
      </c>
      <c r="AA182" s="53">
        <v>0</v>
      </c>
      <c r="AB182" s="46">
        <f t="shared" si="78"/>
        <v>0</v>
      </c>
      <c r="AC182" s="53">
        <v>0</v>
      </c>
      <c r="AD182" s="46">
        <f t="shared" si="79"/>
        <v>0</v>
      </c>
      <c r="AE182" s="29"/>
      <c r="AF182">
        <v>99</v>
      </c>
    </row>
    <row r="183" spans="1:32" ht="24" x14ac:dyDescent="0.2">
      <c r="A183" s="24"/>
      <c r="B183" s="35"/>
      <c r="C183" s="51" t="s">
        <v>226</v>
      </c>
      <c r="D183" s="52">
        <f t="shared" si="68"/>
        <v>1</v>
      </c>
      <c r="E183" s="41" t="s">
        <v>39</v>
      </c>
      <c r="F183" s="42">
        <f t="shared" si="69"/>
        <v>957.57999999999993</v>
      </c>
      <c r="G183" s="53">
        <v>0</v>
      </c>
      <c r="H183" s="46">
        <f t="shared" si="70"/>
        <v>0</v>
      </c>
      <c r="I183" s="53">
        <v>1</v>
      </c>
      <c r="J183" s="46">
        <f t="shared" si="80"/>
        <v>957.57999999999993</v>
      </c>
      <c r="K183" s="53">
        <v>0</v>
      </c>
      <c r="L183" s="46">
        <f t="shared" si="71"/>
        <v>0</v>
      </c>
      <c r="M183" s="53">
        <v>0</v>
      </c>
      <c r="N183" s="46">
        <f t="shared" si="72"/>
        <v>0</v>
      </c>
      <c r="O183" s="53">
        <v>0</v>
      </c>
      <c r="P183" s="46">
        <f t="shared" si="81"/>
        <v>0</v>
      </c>
      <c r="Q183" s="53">
        <v>0</v>
      </c>
      <c r="R183" s="46">
        <f t="shared" si="73"/>
        <v>0</v>
      </c>
      <c r="S183" s="53">
        <v>0</v>
      </c>
      <c r="T183" s="46">
        <f t="shared" si="74"/>
        <v>0</v>
      </c>
      <c r="U183" s="53">
        <v>0</v>
      </c>
      <c r="V183" s="46">
        <f t="shared" si="75"/>
        <v>0</v>
      </c>
      <c r="W183" s="53">
        <v>0</v>
      </c>
      <c r="X183" s="46">
        <f t="shared" si="76"/>
        <v>0</v>
      </c>
      <c r="Y183" s="53">
        <v>0</v>
      </c>
      <c r="Z183" s="46">
        <f t="shared" si="77"/>
        <v>0</v>
      </c>
      <c r="AA183" s="53">
        <v>0</v>
      </c>
      <c r="AB183" s="46">
        <f t="shared" si="78"/>
        <v>0</v>
      </c>
      <c r="AC183" s="53">
        <v>0</v>
      </c>
      <c r="AD183" s="46">
        <f t="shared" si="79"/>
        <v>0</v>
      </c>
      <c r="AE183" s="29"/>
      <c r="AF183">
        <v>825.5</v>
      </c>
    </row>
    <row r="184" spans="1:32" x14ac:dyDescent="0.2">
      <c r="A184" s="24"/>
      <c r="B184" s="35"/>
      <c r="C184" s="51" t="s">
        <v>123</v>
      </c>
      <c r="D184" s="52">
        <f t="shared" si="68"/>
        <v>52</v>
      </c>
      <c r="E184" s="41" t="s">
        <v>39</v>
      </c>
      <c r="F184" s="42">
        <f t="shared" si="69"/>
        <v>96451.68</v>
      </c>
      <c r="G184" s="53">
        <v>0</v>
      </c>
      <c r="H184" s="46">
        <f t="shared" si="70"/>
        <v>0</v>
      </c>
      <c r="I184" s="53">
        <v>52</v>
      </c>
      <c r="J184" s="46">
        <f t="shared" si="80"/>
        <v>96451.68</v>
      </c>
      <c r="K184" s="53">
        <v>0</v>
      </c>
      <c r="L184" s="46">
        <f t="shared" si="71"/>
        <v>0</v>
      </c>
      <c r="M184" s="53">
        <v>0</v>
      </c>
      <c r="N184" s="46">
        <f t="shared" si="72"/>
        <v>0</v>
      </c>
      <c r="O184" s="53">
        <v>0</v>
      </c>
      <c r="P184" s="46">
        <f t="shared" si="81"/>
        <v>0</v>
      </c>
      <c r="Q184" s="53">
        <v>0</v>
      </c>
      <c r="R184" s="46">
        <f t="shared" si="73"/>
        <v>0</v>
      </c>
      <c r="S184" s="53">
        <v>0</v>
      </c>
      <c r="T184" s="46">
        <f t="shared" si="74"/>
        <v>0</v>
      </c>
      <c r="U184" s="53">
        <v>0</v>
      </c>
      <c r="V184" s="46">
        <f t="shared" si="75"/>
        <v>0</v>
      </c>
      <c r="W184" s="53">
        <v>0</v>
      </c>
      <c r="X184" s="46">
        <f t="shared" si="76"/>
        <v>0</v>
      </c>
      <c r="Y184" s="53">
        <v>0</v>
      </c>
      <c r="Z184" s="46">
        <f t="shared" si="77"/>
        <v>0</v>
      </c>
      <c r="AA184" s="53">
        <v>0</v>
      </c>
      <c r="AB184" s="46">
        <f t="shared" si="78"/>
        <v>0</v>
      </c>
      <c r="AC184" s="53">
        <v>0</v>
      </c>
      <c r="AD184" s="46">
        <f t="shared" si="79"/>
        <v>0</v>
      </c>
      <c r="AE184" s="29"/>
      <c r="AF184">
        <v>1599</v>
      </c>
    </row>
    <row r="185" spans="1:32" ht="24" x14ac:dyDescent="0.2">
      <c r="A185" s="24"/>
      <c r="B185" s="35"/>
      <c r="C185" s="51" t="s">
        <v>183</v>
      </c>
      <c r="D185" s="52">
        <f t="shared" si="68"/>
        <v>15</v>
      </c>
      <c r="E185" s="41" t="s">
        <v>39</v>
      </c>
      <c r="F185" s="42">
        <f t="shared" si="69"/>
        <v>626.4</v>
      </c>
      <c r="G185" s="53">
        <v>0</v>
      </c>
      <c r="H185" s="46">
        <f t="shared" si="70"/>
        <v>0</v>
      </c>
      <c r="I185" s="53">
        <v>0</v>
      </c>
      <c r="J185" s="46">
        <f t="shared" si="80"/>
        <v>0</v>
      </c>
      <c r="K185" s="53">
        <v>15</v>
      </c>
      <c r="L185" s="46">
        <f t="shared" si="71"/>
        <v>626.4</v>
      </c>
      <c r="M185" s="53">
        <v>0</v>
      </c>
      <c r="N185" s="46">
        <f t="shared" si="72"/>
        <v>0</v>
      </c>
      <c r="O185" s="53">
        <v>0</v>
      </c>
      <c r="P185" s="46">
        <f t="shared" si="81"/>
        <v>0</v>
      </c>
      <c r="Q185" s="53">
        <v>0</v>
      </c>
      <c r="R185" s="46">
        <f t="shared" si="73"/>
        <v>0</v>
      </c>
      <c r="S185" s="53">
        <v>0</v>
      </c>
      <c r="T185" s="46">
        <f t="shared" si="74"/>
        <v>0</v>
      </c>
      <c r="U185" s="53">
        <v>0</v>
      </c>
      <c r="V185" s="46">
        <f t="shared" si="75"/>
        <v>0</v>
      </c>
      <c r="W185" s="53">
        <v>0</v>
      </c>
      <c r="X185" s="46">
        <f t="shared" si="76"/>
        <v>0</v>
      </c>
      <c r="Y185" s="53">
        <v>0</v>
      </c>
      <c r="Z185" s="46">
        <f t="shared" si="77"/>
        <v>0</v>
      </c>
      <c r="AA185" s="53">
        <v>0</v>
      </c>
      <c r="AB185" s="46">
        <f t="shared" si="78"/>
        <v>0</v>
      </c>
      <c r="AC185" s="53">
        <v>0</v>
      </c>
      <c r="AD185" s="46">
        <f t="shared" si="79"/>
        <v>0</v>
      </c>
      <c r="AE185" s="29"/>
      <c r="AF185">
        <v>36</v>
      </c>
    </row>
    <row r="186" spans="1:32" ht="24" x14ac:dyDescent="0.2">
      <c r="A186" s="24"/>
      <c r="B186" s="35"/>
      <c r="C186" s="51" t="s">
        <v>227</v>
      </c>
      <c r="D186" s="52">
        <f t="shared" si="68"/>
        <v>1</v>
      </c>
      <c r="E186" s="41" t="s">
        <v>39</v>
      </c>
      <c r="F186" s="42">
        <f t="shared" si="69"/>
        <v>263.70280000000002</v>
      </c>
      <c r="G186" s="53">
        <v>1</v>
      </c>
      <c r="H186" s="46">
        <f t="shared" si="70"/>
        <v>263.70280000000002</v>
      </c>
      <c r="I186" s="53">
        <v>0</v>
      </c>
      <c r="J186" s="46">
        <f t="shared" si="80"/>
        <v>0</v>
      </c>
      <c r="K186" s="53">
        <v>0</v>
      </c>
      <c r="L186" s="46">
        <f t="shared" si="71"/>
        <v>0</v>
      </c>
      <c r="M186" s="53">
        <v>0</v>
      </c>
      <c r="N186" s="46">
        <f t="shared" si="72"/>
        <v>0</v>
      </c>
      <c r="O186" s="53">
        <v>0</v>
      </c>
      <c r="P186" s="46">
        <f t="shared" si="81"/>
        <v>0</v>
      </c>
      <c r="Q186" s="53">
        <v>0</v>
      </c>
      <c r="R186" s="46">
        <f t="shared" si="73"/>
        <v>0</v>
      </c>
      <c r="S186" s="53">
        <v>0</v>
      </c>
      <c r="T186" s="46">
        <f t="shared" si="74"/>
        <v>0</v>
      </c>
      <c r="U186" s="53">
        <v>0</v>
      </c>
      <c r="V186" s="46">
        <f t="shared" si="75"/>
        <v>0</v>
      </c>
      <c r="W186" s="53">
        <v>0</v>
      </c>
      <c r="X186" s="46">
        <f t="shared" si="76"/>
        <v>0</v>
      </c>
      <c r="Y186" s="53">
        <v>0</v>
      </c>
      <c r="Z186" s="46">
        <f t="shared" si="77"/>
        <v>0</v>
      </c>
      <c r="AA186" s="53">
        <v>0</v>
      </c>
      <c r="AB186" s="46">
        <f t="shared" si="78"/>
        <v>0</v>
      </c>
      <c r="AC186" s="53">
        <v>0</v>
      </c>
      <c r="AD186" s="46">
        <f t="shared" si="79"/>
        <v>0</v>
      </c>
      <c r="AE186" s="29"/>
      <c r="AF186">
        <v>227.33</v>
      </c>
    </row>
    <row r="187" spans="1:32" ht="36" x14ac:dyDescent="0.2">
      <c r="A187" s="24"/>
      <c r="B187" s="35"/>
      <c r="C187" s="51" t="s">
        <v>228</v>
      </c>
      <c r="D187" s="52">
        <f t="shared" si="68"/>
        <v>1</v>
      </c>
      <c r="E187" s="41" t="s">
        <v>39</v>
      </c>
      <c r="F187" s="42">
        <f t="shared" si="69"/>
        <v>2474.9759999999997</v>
      </c>
      <c r="G187" s="53">
        <v>0</v>
      </c>
      <c r="H187" s="46">
        <f t="shared" si="70"/>
        <v>0</v>
      </c>
      <c r="I187" s="53">
        <v>1</v>
      </c>
      <c r="J187" s="46">
        <f t="shared" si="80"/>
        <v>2474.9759999999997</v>
      </c>
      <c r="K187" s="53">
        <v>0</v>
      </c>
      <c r="L187" s="46">
        <f t="shared" si="71"/>
        <v>0</v>
      </c>
      <c r="M187" s="53">
        <v>0</v>
      </c>
      <c r="N187" s="46">
        <f t="shared" si="72"/>
        <v>0</v>
      </c>
      <c r="O187" s="53">
        <v>0</v>
      </c>
      <c r="P187" s="46">
        <f t="shared" si="81"/>
        <v>0</v>
      </c>
      <c r="Q187" s="53">
        <v>0</v>
      </c>
      <c r="R187" s="46">
        <f t="shared" si="73"/>
        <v>0</v>
      </c>
      <c r="S187" s="53">
        <v>0</v>
      </c>
      <c r="T187" s="46">
        <f t="shared" si="74"/>
        <v>0</v>
      </c>
      <c r="U187" s="53">
        <v>0</v>
      </c>
      <c r="V187" s="46">
        <f t="shared" si="75"/>
        <v>0</v>
      </c>
      <c r="W187" s="53">
        <v>0</v>
      </c>
      <c r="X187" s="46">
        <f t="shared" si="76"/>
        <v>0</v>
      </c>
      <c r="Y187" s="53">
        <v>0</v>
      </c>
      <c r="Z187" s="46">
        <f t="shared" si="77"/>
        <v>0</v>
      </c>
      <c r="AA187" s="53">
        <v>0</v>
      </c>
      <c r="AB187" s="46">
        <f t="shared" si="78"/>
        <v>0</v>
      </c>
      <c r="AC187" s="53">
        <v>0</v>
      </c>
      <c r="AD187" s="46">
        <f t="shared" si="79"/>
        <v>0</v>
      </c>
      <c r="AE187" s="29"/>
      <c r="AF187">
        <v>2133.6</v>
      </c>
    </row>
    <row r="188" spans="1:32" ht="36" x14ac:dyDescent="0.2">
      <c r="A188" s="24"/>
      <c r="B188" s="35"/>
      <c r="C188" s="51" t="s">
        <v>229</v>
      </c>
      <c r="D188" s="52">
        <f t="shared" si="68"/>
        <v>2</v>
      </c>
      <c r="E188" s="41" t="s">
        <v>39</v>
      </c>
      <c r="F188" s="42">
        <f t="shared" si="69"/>
        <v>306.42560000000003</v>
      </c>
      <c r="G188" s="53">
        <v>2</v>
      </c>
      <c r="H188" s="46">
        <f t="shared" si="70"/>
        <v>306.42560000000003</v>
      </c>
      <c r="I188" s="53">
        <v>0</v>
      </c>
      <c r="J188" s="46">
        <f t="shared" si="80"/>
        <v>0</v>
      </c>
      <c r="K188" s="53">
        <v>0</v>
      </c>
      <c r="L188" s="46">
        <f t="shared" si="71"/>
        <v>0</v>
      </c>
      <c r="M188" s="53">
        <v>0</v>
      </c>
      <c r="N188" s="46">
        <f t="shared" si="72"/>
        <v>0</v>
      </c>
      <c r="O188" s="53">
        <v>0</v>
      </c>
      <c r="P188" s="46">
        <f t="shared" si="81"/>
        <v>0</v>
      </c>
      <c r="Q188" s="53">
        <v>0</v>
      </c>
      <c r="R188" s="46">
        <f t="shared" si="73"/>
        <v>0</v>
      </c>
      <c r="S188" s="53">
        <v>0</v>
      </c>
      <c r="T188" s="46">
        <f t="shared" si="74"/>
        <v>0</v>
      </c>
      <c r="U188" s="53">
        <v>0</v>
      </c>
      <c r="V188" s="46">
        <f t="shared" si="75"/>
        <v>0</v>
      </c>
      <c r="W188" s="53">
        <v>0</v>
      </c>
      <c r="X188" s="46">
        <f t="shared" si="76"/>
        <v>0</v>
      </c>
      <c r="Y188" s="53">
        <v>0</v>
      </c>
      <c r="Z188" s="46">
        <f t="shared" si="77"/>
        <v>0</v>
      </c>
      <c r="AA188" s="53">
        <v>0</v>
      </c>
      <c r="AB188" s="46">
        <f t="shared" si="78"/>
        <v>0</v>
      </c>
      <c r="AC188" s="53">
        <v>0</v>
      </c>
      <c r="AD188" s="46">
        <f t="shared" si="79"/>
        <v>0</v>
      </c>
      <c r="AE188" s="29"/>
      <c r="AF188">
        <v>132.08000000000001</v>
      </c>
    </row>
    <row r="189" spans="1:32" ht="14.25" customHeight="1" x14ac:dyDescent="0.2">
      <c r="A189" s="24"/>
      <c r="B189" s="35"/>
      <c r="C189" s="51" t="s">
        <v>230</v>
      </c>
      <c r="D189" s="52">
        <f t="shared" si="68"/>
        <v>4</v>
      </c>
      <c r="E189" s="41" t="s">
        <v>39</v>
      </c>
      <c r="F189" s="42">
        <f t="shared" si="69"/>
        <v>1382.7199999999998</v>
      </c>
      <c r="G189" s="53">
        <v>0</v>
      </c>
      <c r="H189" s="46">
        <f t="shared" si="70"/>
        <v>0</v>
      </c>
      <c r="I189" s="53">
        <v>2</v>
      </c>
      <c r="J189" s="46">
        <f t="shared" si="80"/>
        <v>691.3599999999999</v>
      </c>
      <c r="K189" s="53">
        <v>0</v>
      </c>
      <c r="L189" s="46">
        <f t="shared" si="71"/>
        <v>0</v>
      </c>
      <c r="M189" s="53">
        <v>2</v>
      </c>
      <c r="N189" s="46">
        <f t="shared" si="72"/>
        <v>691.3599999999999</v>
      </c>
      <c r="O189" s="53">
        <v>0</v>
      </c>
      <c r="P189" s="46">
        <f t="shared" si="81"/>
        <v>0</v>
      </c>
      <c r="Q189" s="53">
        <v>0</v>
      </c>
      <c r="R189" s="46">
        <f t="shared" si="73"/>
        <v>0</v>
      </c>
      <c r="S189" s="53">
        <v>0</v>
      </c>
      <c r="T189" s="46">
        <f t="shared" si="74"/>
        <v>0</v>
      </c>
      <c r="U189" s="53">
        <v>0</v>
      </c>
      <c r="V189" s="46">
        <f t="shared" si="75"/>
        <v>0</v>
      </c>
      <c r="W189" s="53">
        <v>0</v>
      </c>
      <c r="X189" s="46">
        <f t="shared" si="76"/>
        <v>0</v>
      </c>
      <c r="Y189" s="53">
        <v>0</v>
      </c>
      <c r="Z189" s="46">
        <f t="shared" si="77"/>
        <v>0</v>
      </c>
      <c r="AA189" s="53">
        <v>0</v>
      </c>
      <c r="AB189" s="46">
        <f t="shared" si="78"/>
        <v>0</v>
      </c>
      <c r="AC189" s="53">
        <v>0</v>
      </c>
      <c r="AD189" s="46">
        <f t="shared" si="79"/>
        <v>0</v>
      </c>
      <c r="AE189" s="29"/>
      <c r="AF189">
        <v>298</v>
      </c>
    </row>
    <row r="190" spans="1:32" ht="14.25" customHeight="1" x14ac:dyDescent="0.2">
      <c r="A190" s="24"/>
      <c r="B190" s="35"/>
      <c r="C190" s="51" t="s">
        <v>231</v>
      </c>
      <c r="D190" s="52">
        <f t="shared" si="68"/>
        <v>10</v>
      </c>
      <c r="E190" s="41" t="s">
        <v>39</v>
      </c>
      <c r="F190" s="42">
        <f t="shared" si="69"/>
        <v>1612.3999999999999</v>
      </c>
      <c r="G190" s="53">
        <v>0</v>
      </c>
      <c r="H190" s="46">
        <f t="shared" si="70"/>
        <v>0</v>
      </c>
      <c r="I190" s="53">
        <v>5</v>
      </c>
      <c r="J190" s="46">
        <f t="shared" si="80"/>
        <v>806.19999999999993</v>
      </c>
      <c r="K190" s="53">
        <v>5</v>
      </c>
      <c r="L190" s="46">
        <f t="shared" si="71"/>
        <v>806.19999999999993</v>
      </c>
      <c r="M190" s="53">
        <v>0</v>
      </c>
      <c r="N190" s="46">
        <f t="shared" si="72"/>
        <v>0</v>
      </c>
      <c r="O190" s="53">
        <v>0</v>
      </c>
      <c r="P190" s="46">
        <f t="shared" si="81"/>
        <v>0</v>
      </c>
      <c r="Q190" s="53">
        <v>0</v>
      </c>
      <c r="R190" s="46">
        <f t="shared" si="73"/>
        <v>0</v>
      </c>
      <c r="S190" s="53">
        <v>0</v>
      </c>
      <c r="T190" s="46">
        <f t="shared" si="74"/>
        <v>0</v>
      </c>
      <c r="U190" s="53">
        <v>0</v>
      </c>
      <c r="V190" s="46">
        <f t="shared" si="75"/>
        <v>0</v>
      </c>
      <c r="W190" s="53">
        <v>0</v>
      </c>
      <c r="X190" s="46">
        <f t="shared" si="76"/>
        <v>0</v>
      </c>
      <c r="Y190" s="53">
        <v>0</v>
      </c>
      <c r="Z190" s="46">
        <f t="shared" si="77"/>
        <v>0</v>
      </c>
      <c r="AA190" s="53">
        <v>0</v>
      </c>
      <c r="AB190" s="46">
        <f t="shared" si="78"/>
        <v>0</v>
      </c>
      <c r="AC190" s="53">
        <v>0</v>
      </c>
      <c r="AD190" s="46">
        <f t="shared" si="79"/>
        <v>0</v>
      </c>
      <c r="AE190" s="29"/>
      <c r="AF190">
        <v>139</v>
      </c>
    </row>
    <row r="191" spans="1:32" ht="24" x14ac:dyDescent="0.2">
      <c r="A191" s="24"/>
      <c r="B191" s="35"/>
      <c r="C191" s="51" t="s">
        <v>232</v>
      </c>
      <c r="D191" s="52">
        <f t="shared" si="68"/>
        <v>50</v>
      </c>
      <c r="E191" s="41" t="s">
        <v>39</v>
      </c>
      <c r="F191" s="42">
        <f t="shared" si="69"/>
        <v>2209.7999999999997</v>
      </c>
      <c r="G191" s="53">
        <v>50</v>
      </c>
      <c r="H191" s="46">
        <f t="shared" si="70"/>
        <v>2209.7999999999997</v>
      </c>
      <c r="I191" s="53">
        <v>0</v>
      </c>
      <c r="J191" s="46">
        <f t="shared" si="80"/>
        <v>0</v>
      </c>
      <c r="K191" s="53">
        <v>0</v>
      </c>
      <c r="L191" s="46">
        <f t="shared" si="71"/>
        <v>0</v>
      </c>
      <c r="M191" s="53">
        <v>0</v>
      </c>
      <c r="N191" s="46">
        <f t="shared" si="72"/>
        <v>0</v>
      </c>
      <c r="O191" s="53">
        <v>0</v>
      </c>
      <c r="P191" s="46">
        <f t="shared" si="81"/>
        <v>0</v>
      </c>
      <c r="Q191" s="53">
        <v>0</v>
      </c>
      <c r="R191" s="46">
        <f t="shared" si="73"/>
        <v>0</v>
      </c>
      <c r="S191" s="53">
        <v>0</v>
      </c>
      <c r="T191" s="46">
        <f t="shared" si="74"/>
        <v>0</v>
      </c>
      <c r="U191" s="53">
        <v>0</v>
      </c>
      <c r="V191" s="46">
        <f t="shared" si="75"/>
        <v>0</v>
      </c>
      <c r="W191" s="53">
        <v>0</v>
      </c>
      <c r="X191" s="46">
        <f t="shared" si="76"/>
        <v>0</v>
      </c>
      <c r="Y191" s="53">
        <v>0</v>
      </c>
      <c r="Z191" s="46">
        <f t="shared" si="77"/>
        <v>0</v>
      </c>
      <c r="AA191" s="53">
        <v>0</v>
      </c>
      <c r="AB191" s="46">
        <f t="shared" si="78"/>
        <v>0</v>
      </c>
      <c r="AC191" s="53">
        <v>0</v>
      </c>
      <c r="AD191" s="46">
        <f t="shared" si="79"/>
        <v>0</v>
      </c>
      <c r="AE191" s="29"/>
      <c r="AF191">
        <v>38.1</v>
      </c>
    </row>
    <row r="192" spans="1:32" ht="45.75" customHeight="1" x14ac:dyDescent="0.2">
      <c r="A192" s="24"/>
      <c r="B192" s="35"/>
      <c r="C192" s="51" t="s">
        <v>233</v>
      </c>
      <c r="D192" s="52">
        <f t="shared" si="68"/>
        <v>1</v>
      </c>
      <c r="E192" s="41" t="s">
        <v>39</v>
      </c>
      <c r="F192" s="42">
        <f t="shared" si="69"/>
        <v>12026.88</v>
      </c>
      <c r="G192" s="53">
        <v>0</v>
      </c>
      <c r="H192" s="46">
        <f t="shared" si="70"/>
        <v>0</v>
      </c>
      <c r="I192" s="53">
        <v>0</v>
      </c>
      <c r="J192" s="46">
        <f t="shared" si="80"/>
        <v>0</v>
      </c>
      <c r="K192" s="53">
        <v>1</v>
      </c>
      <c r="L192" s="46">
        <f t="shared" si="71"/>
        <v>12026.88</v>
      </c>
      <c r="M192" s="53">
        <v>0</v>
      </c>
      <c r="N192" s="46">
        <f t="shared" si="72"/>
        <v>0</v>
      </c>
      <c r="O192" s="53">
        <v>0</v>
      </c>
      <c r="P192" s="46">
        <f t="shared" si="81"/>
        <v>0</v>
      </c>
      <c r="Q192" s="53">
        <v>0</v>
      </c>
      <c r="R192" s="46">
        <f t="shared" si="73"/>
        <v>0</v>
      </c>
      <c r="S192" s="53">
        <v>0</v>
      </c>
      <c r="T192" s="46">
        <f t="shared" si="74"/>
        <v>0</v>
      </c>
      <c r="U192" s="53">
        <v>0</v>
      </c>
      <c r="V192" s="46">
        <f t="shared" si="75"/>
        <v>0</v>
      </c>
      <c r="W192" s="53">
        <v>0</v>
      </c>
      <c r="X192" s="46">
        <f t="shared" si="76"/>
        <v>0</v>
      </c>
      <c r="Y192" s="53">
        <v>0</v>
      </c>
      <c r="Z192" s="46">
        <f t="shared" si="77"/>
        <v>0</v>
      </c>
      <c r="AA192" s="53">
        <v>0</v>
      </c>
      <c r="AB192" s="46">
        <f t="shared" si="78"/>
        <v>0</v>
      </c>
      <c r="AC192" s="53">
        <v>0</v>
      </c>
      <c r="AD192" s="46">
        <f t="shared" si="79"/>
        <v>0</v>
      </c>
      <c r="AE192" s="29"/>
      <c r="AF192">
        <v>10368</v>
      </c>
    </row>
    <row r="193" spans="1:32" ht="24" x14ac:dyDescent="0.2">
      <c r="A193" s="24"/>
      <c r="B193" s="35"/>
      <c r="C193" s="51" t="s">
        <v>234</v>
      </c>
      <c r="D193" s="52">
        <f t="shared" si="68"/>
        <v>1</v>
      </c>
      <c r="E193" s="41" t="s">
        <v>39</v>
      </c>
      <c r="F193" s="42">
        <f t="shared" si="69"/>
        <v>696</v>
      </c>
      <c r="G193" s="53">
        <v>0</v>
      </c>
      <c r="H193" s="46">
        <f t="shared" si="70"/>
        <v>0</v>
      </c>
      <c r="I193" s="53">
        <v>1</v>
      </c>
      <c r="J193" s="46">
        <f t="shared" si="80"/>
        <v>696</v>
      </c>
      <c r="K193" s="53">
        <v>0</v>
      </c>
      <c r="L193" s="46">
        <f t="shared" si="71"/>
        <v>0</v>
      </c>
      <c r="M193" s="53">
        <v>0</v>
      </c>
      <c r="N193" s="46">
        <f t="shared" si="72"/>
        <v>0</v>
      </c>
      <c r="O193" s="53">
        <v>0</v>
      </c>
      <c r="P193" s="46">
        <f t="shared" si="81"/>
        <v>0</v>
      </c>
      <c r="Q193" s="53">
        <v>0</v>
      </c>
      <c r="R193" s="46">
        <f t="shared" si="73"/>
        <v>0</v>
      </c>
      <c r="S193" s="53">
        <v>0</v>
      </c>
      <c r="T193" s="46">
        <f t="shared" si="74"/>
        <v>0</v>
      </c>
      <c r="U193" s="53">
        <v>0</v>
      </c>
      <c r="V193" s="46">
        <f t="shared" si="75"/>
        <v>0</v>
      </c>
      <c r="W193" s="53">
        <v>0</v>
      </c>
      <c r="X193" s="46">
        <f t="shared" si="76"/>
        <v>0</v>
      </c>
      <c r="Y193" s="53">
        <v>0</v>
      </c>
      <c r="Z193" s="46">
        <f t="shared" si="77"/>
        <v>0</v>
      </c>
      <c r="AA193" s="53">
        <v>0</v>
      </c>
      <c r="AB193" s="46">
        <f t="shared" si="78"/>
        <v>0</v>
      </c>
      <c r="AC193" s="53">
        <v>0</v>
      </c>
      <c r="AD193" s="46">
        <f t="shared" si="79"/>
        <v>0</v>
      </c>
      <c r="AE193" s="29"/>
      <c r="AF193">
        <v>600</v>
      </c>
    </row>
    <row r="194" spans="1:32" ht="60" x14ac:dyDescent="0.2">
      <c r="A194" s="24"/>
      <c r="B194" s="35"/>
      <c r="C194" s="51" t="s">
        <v>235</v>
      </c>
      <c r="D194" s="52">
        <f t="shared" si="68"/>
        <v>1</v>
      </c>
      <c r="E194" s="41" t="s">
        <v>39</v>
      </c>
      <c r="F194" s="42">
        <f t="shared" si="69"/>
        <v>20000</v>
      </c>
      <c r="G194" s="53">
        <v>0</v>
      </c>
      <c r="H194" s="46">
        <f t="shared" si="70"/>
        <v>0</v>
      </c>
      <c r="I194" s="53">
        <v>1</v>
      </c>
      <c r="J194" s="46">
        <v>20000</v>
      </c>
      <c r="K194" s="53">
        <v>0</v>
      </c>
      <c r="L194" s="46">
        <f t="shared" si="71"/>
        <v>0</v>
      </c>
      <c r="M194" s="53">
        <v>0</v>
      </c>
      <c r="N194" s="46">
        <f t="shared" si="72"/>
        <v>0</v>
      </c>
      <c r="O194" s="53">
        <v>0</v>
      </c>
      <c r="P194" s="46">
        <f t="shared" si="81"/>
        <v>0</v>
      </c>
      <c r="Q194" s="53">
        <v>0</v>
      </c>
      <c r="R194" s="46">
        <f t="shared" si="73"/>
        <v>0</v>
      </c>
      <c r="S194" s="53">
        <v>0</v>
      </c>
      <c r="T194" s="46">
        <f t="shared" si="74"/>
        <v>0</v>
      </c>
      <c r="U194" s="53">
        <v>0</v>
      </c>
      <c r="V194" s="46">
        <f t="shared" si="75"/>
        <v>0</v>
      </c>
      <c r="W194" s="53">
        <v>0</v>
      </c>
      <c r="X194" s="46">
        <f t="shared" si="76"/>
        <v>0</v>
      </c>
      <c r="Y194" s="53">
        <v>0</v>
      </c>
      <c r="Z194" s="46">
        <f t="shared" si="77"/>
        <v>0</v>
      </c>
      <c r="AA194" s="53">
        <v>0</v>
      </c>
      <c r="AB194" s="46">
        <f t="shared" si="78"/>
        <v>0</v>
      </c>
      <c r="AC194" s="53">
        <v>0</v>
      </c>
      <c r="AD194" s="46">
        <f t="shared" si="79"/>
        <v>0</v>
      </c>
      <c r="AE194" s="29"/>
      <c r="AF194">
        <v>600</v>
      </c>
    </row>
    <row r="195" spans="1:32" ht="24.75" customHeight="1" x14ac:dyDescent="0.2">
      <c r="A195" s="24"/>
      <c r="B195" s="35">
        <v>296</v>
      </c>
      <c r="C195" s="31" t="s">
        <v>236</v>
      </c>
      <c r="D195" s="52"/>
      <c r="E195" s="30"/>
      <c r="F195" s="36">
        <f>SUM(F196:F204)</f>
        <v>345165.92</v>
      </c>
      <c r="G195" s="55"/>
      <c r="H195" s="36">
        <f>SUM(H196:H204)</f>
        <v>28262.36</v>
      </c>
      <c r="I195" s="56"/>
      <c r="J195" s="36">
        <f>SUM(J196:J204)</f>
        <v>28262.36</v>
      </c>
      <c r="K195" s="56"/>
      <c r="L195" s="36">
        <f>SUM(L196:L204)</f>
        <v>28262.36</v>
      </c>
      <c r="M195" s="56"/>
      <c r="N195" s="36">
        <f>SUM(N196:N204)</f>
        <v>28262.36</v>
      </c>
      <c r="O195" s="56"/>
      <c r="P195" s="36">
        <f>SUM(P196:P204)</f>
        <v>29020.66</v>
      </c>
      <c r="Q195" s="56"/>
      <c r="R195" s="36">
        <f>SUM(R196:R204)</f>
        <v>29013.22</v>
      </c>
      <c r="S195" s="56"/>
      <c r="T195" s="36">
        <f>SUM(T196:T204)</f>
        <v>29013.22</v>
      </c>
      <c r="U195" s="56"/>
      <c r="V195" s="36">
        <f>SUM(V196:V204)</f>
        <v>29013.22</v>
      </c>
      <c r="W195" s="56"/>
      <c r="X195" s="36">
        <f>SUM(X196:X204)</f>
        <v>29013.22</v>
      </c>
      <c r="Y195" s="56"/>
      <c r="Z195" s="36">
        <f>SUM(Z196:Z204)</f>
        <v>29013.22</v>
      </c>
      <c r="AA195" s="56"/>
      <c r="AB195" s="36">
        <f>SUM(AB196:AB204)</f>
        <v>29013.06</v>
      </c>
      <c r="AC195" s="56"/>
      <c r="AD195" s="36">
        <f>SUM(AD196:AD204)</f>
        <v>29016.66</v>
      </c>
      <c r="AE195" s="29"/>
    </row>
    <row r="196" spans="1:32" ht="14.25" customHeight="1" x14ac:dyDescent="0.2">
      <c r="A196" s="24"/>
      <c r="B196" s="35"/>
      <c r="C196" s="51" t="s">
        <v>237</v>
      </c>
      <c r="D196" s="52">
        <f t="shared" ref="D196:D204" si="82">G196+I196+K196+M196+O196+Q196+S196+U196+W196+Y196+AA196+AC196</f>
        <v>56</v>
      </c>
      <c r="E196" s="41" t="s">
        <v>39</v>
      </c>
      <c r="F196" s="42">
        <f t="shared" ref="F196:F204" si="83">SUM(H196,J196,L196,N196,P196,R196,T196,V196,X196,Z196,AB196,AD196)</f>
        <v>42100</v>
      </c>
      <c r="G196" s="80">
        <v>4</v>
      </c>
      <c r="H196" s="42">
        <v>3007.14</v>
      </c>
      <c r="I196" s="80">
        <v>4</v>
      </c>
      <c r="J196" s="42">
        <v>3007.14</v>
      </c>
      <c r="K196" s="80">
        <v>4</v>
      </c>
      <c r="L196" s="80">
        <v>3007.14</v>
      </c>
      <c r="M196" s="80">
        <v>4</v>
      </c>
      <c r="N196" s="80">
        <v>3007.14</v>
      </c>
      <c r="O196" s="80">
        <v>5</v>
      </c>
      <c r="P196" s="42">
        <v>3765.44</v>
      </c>
      <c r="Q196" s="80">
        <v>5</v>
      </c>
      <c r="R196" s="42">
        <v>3758</v>
      </c>
      <c r="S196" s="80">
        <v>5</v>
      </c>
      <c r="T196" s="42">
        <v>3758</v>
      </c>
      <c r="U196" s="80">
        <v>5</v>
      </c>
      <c r="V196" s="42">
        <v>3758</v>
      </c>
      <c r="W196" s="80">
        <v>5</v>
      </c>
      <c r="X196" s="42">
        <v>3758</v>
      </c>
      <c r="Y196" s="80">
        <v>5</v>
      </c>
      <c r="Z196" s="42">
        <v>3758</v>
      </c>
      <c r="AA196" s="80">
        <v>5</v>
      </c>
      <c r="AB196" s="42">
        <v>3758</v>
      </c>
      <c r="AC196" s="80">
        <v>5</v>
      </c>
      <c r="AD196" s="42">
        <v>3758</v>
      </c>
      <c r="AE196" s="29"/>
    </row>
    <row r="197" spans="1:32" ht="12.75" customHeight="1" x14ac:dyDescent="0.2">
      <c r="A197" s="24"/>
      <c r="B197" s="35"/>
      <c r="C197" s="51" t="s">
        <v>238</v>
      </c>
      <c r="D197" s="52">
        <f t="shared" si="82"/>
        <v>96</v>
      </c>
      <c r="E197" s="41" t="s">
        <v>39</v>
      </c>
      <c r="F197" s="42">
        <f t="shared" si="83"/>
        <v>7749.9999999999982</v>
      </c>
      <c r="G197" s="80">
        <v>8</v>
      </c>
      <c r="H197" s="42">
        <v>645.55999999999995</v>
      </c>
      <c r="I197" s="80">
        <v>8</v>
      </c>
      <c r="J197" s="42">
        <v>645.55999999999995</v>
      </c>
      <c r="K197" s="80">
        <v>8</v>
      </c>
      <c r="L197" s="42">
        <v>645.55999999999995</v>
      </c>
      <c r="M197" s="80">
        <v>8</v>
      </c>
      <c r="N197" s="42">
        <v>645.55999999999995</v>
      </c>
      <c r="O197" s="80">
        <v>8</v>
      </c>
      <c r="P197" s="42">
        <v>645.55999999999995</v>
      </c>
      <c r="Q197" s="80">
        <v>8</v>
      </c>
      <c r="R197" s="42">
        <v>645.55999999999995</v>
      </c>
      <c r="S197" s="80">
        <v>8</v>
      </c>
      <c r="T197" s="42">
        <v>645.55999999999995</v>
      </c>
      <c r="U197" s="80">
        <v>8</v>
      </c>
      <c r="V197" s="42">
        <v>645.55999999999995</v>
      </c>
      <c r="W197" s="80">
        <v>8</v>
      </c>
      <c r="X197" s="42">
        <v>645.55999999999995</v>
      </c>
      <c r="Y197" s="80">
        <v>8</v>
      </c>
      <c r="Z197" s="42">
        <v>645.55999999999995</v>
      </c>
      <c r="AA197" s="80">
        <v>8</v>
      </c>
      <c r="AB197" s="42">
        <v>645.4</v>
      </c>
      <c r="AC197" s="80">
        <v>8</v>
      </c>
      <c r="AD197" s="42">
        <v>649</v>
      </c>
      <c r="AE197" s="29"/>
    </row>
    <row r="198" spans="1:32" ht="15.75" customHeight="1" x14ac:dyDescent="0.2">
      <c r="A198" s="24"/>
      <c r="B198" s="35"/>
      <c r="C198" s="51" t="s">
        <v>239</v>
      </c>
      <c r="D198" s="52">
        <f t="shared" si="82"/>
        <v>24</v>
      </c>
      <c r="E198" s="41" t="s">
        <v>39</v>
      </c>
      <c r="F198" s="42">
        <f t="shared" si="83"/>
        <v>1320</v>
      </c>
      <c r="G198" s="80">
        <v>2</v>
      </c>
      <c r="H198" s="42">
        <v>110</v>
      </c>
      <c r="I198" s="80">
        <v>2</v>
      </c>
      <c r="J198" s="42">
        <v>110</v>
      </c>
      <c r="K198" s="80">
        <v>2</v>
      </c>
      <c r="L198" s="42">
        <v>110</v>
      </c>
      <c r="M198" s="80">
        <v>2</v>
      </c>
      <c r="N198" s="42">
        <v>110</v>
      </c>
      <c r="O198" s="80">
        <v>2</v>
      </c>
      <c r="P198" s="42">
        <v>110</v>
      </c>
      <c r="Q198" s="80">
        <v>2</v>
      </c>
      <c r="R198" s="42">
        <v>110</v>
      </c>
      <c r="S198" s="80">
        <v>2</v>
      </c>
      <c r="T198" s="42">
        <v>110</v>
      </c>
      <c r="U198" s="80">
        <v>2</v>
      </c>
      <c r="V198" s="42">
        <v>110</v>
      </c>
      <c r="W198" s="80">
        <v>2</v>
      </c>
      <c r="X198" s="42">
        <v>110</v>
      </c>
      <c r="Y198" s="80">
        <v>2</v>
      </c>
      <c r="Z198" s="42">
        <v>110</v>
      </c>
      <c r="AA198" s="80">
        <v>2</v>
      </c>
      <c r="AB198" s="42">
        <v>110</v>
      </c>
      <c r="AC198" s="80">
        <v>2</v>
      </c>
      <c r="AD198" s="42">
        <v>110</v>
      </c>
      <c r="AE198" s="29"/>
    </row>
    <row r="199" spans="1:32" ht="14.25" customHeight="1" x14ac:dyDescent="0.2">
      <c r="A199" s="24"/>
      <c r="B199" s="35"/>
      <c r="C199" s="51" t="s">
        <v>240</v>
      </c>
      <c r="D199" s="52">
        <f t="shared" si="82"/>
        <v>24</v>
      </c>
      <c r="E199" s="41" t="s">
        <v>39</v>
      </c>
      <c r="F199" s="42">
        <f t="shared" si="83"/>
        <v>1320</v>
      </c>
      <c r="G199" s="80">
        <v>2</v>
      </c>
      <c r="H199" s="42">
        <v>110</v>
      </c>
      <c r="I199" s="80">
        <v>2</v>
      </c>
      <c r="J199" s="42">
        <v>110</v>
      </c>
      <c r="K199" s="80">
        <v>2</v>
      </c>
      <c r="L199" s="42">
        <v>110</v>
      </c>
      <c r="M199" s="80">
        <v>2</v>
      </c>
      <c r="N199" s="42">
        <v>110</v>
      </c>
      <c r="O199" s="80">
        <v>2</v>
      </c>
      <c r="P199" s="42">
        <v>110</v>
      </c>
      <c r="Q199" s="80">
        <v>2</v>
      </c>
      <c r="R199" s="42">
        <v>110</v>
      </c>
      <c r="S199" s="80">
        <v>2</v>
      </c>
      <c r="T199" s="42">
        <v>110</v>
      </c>
      <c r="U199" s="80">
        <v>2</v>
      </c>
      <c r="V199" s="42">
        <v>110</v>
      </c>
      <c r="W199" s="80">
        <v>2</v>
      </c>
      <c r="X199" s="42">
        <v>110</v>
      </c>
      <c r="Y199" s="80">
        <v>2</v>
      </c>
      <c r="Z199" s="42">
        <v>110</v>
      </c>
      <c r="AA199" s="80">
        <v>2</v>
      </c>
      <c r="AB199" s="42">
        <v>110</v>
      </c>
      <c r="AC199" s="80">
        <v>2</v>
      </c>
      <c r="AD199" s="42">
        <v>110</v>
      </c>
      <c r="AE199" s="29"/>
    </row>
    <row r="200" spans="1:32" ht="15.75" customHeight="1" x14ac:dyDescent="0.2">
      <c r="A200" s="24"/>
      <c r="B200" s="35"/>
      <c r="C200" s="51" t="s">
        <v>241</v>
      </c>
      <c r="D200" s="52">
        <f t="shared" si="82"/>
        <v>84</v>
      </c>
      <c r="E200" s="41" t="s">
        <v>39</v>
      </c>
      <c r="F200" s="42">
        <f t="shared" si="83"/>
        <v>44520</v>
      </c>
      <c r="G200" s="80">
        <v>7</v>
      </c>
      <c r="H200" s="42">
        <v>3710</v>
      </c>
      <c r="I200" s="80">
        <v>7</v>
      </c>
      <c r="J200" s="42">
        <v>3710</v>
      </c>
      <c r="K200" s="80">
        <v>7</v>
      </c>
      <c r="L200" s="42">
        <v>3710</v>
      </c>
      <c r="M200" s="80">
        <v>7</v>
      </c>
      <c r="N200" s="42">
        <v>3710</v>
      </c>
      <c r="O200" s="80">
        <v>7</v>
      </c>
      <c r="P200" s="42">
        <v>3710</v>
      </c>
      <c r="Q200" s="80">
        <v>7</v>
      </c>
      <c r="R200" s="42">
        <v>3710</v>
      </c>
      <c r="S200" s="80">
        <v>7</v>
      </c>
      <c r="T200" s="42">
        <v>3710</v>
      </c>
      <c r="U200" s="80">
        <v>7</v>
      </c>
      <c r="V200" s="42">
        <v>3710</v>
      </c>
      <c r="W200" s="80">
        <v>7</v>
      </c>
      <c r="X200" s="42">
        <v>3710</v>
      </c>
      <c r="Y200" s="80">
        <v>7</v>
      </c>
      <c r="Z200" s="42">
        <v>3710</v>
      </c>
      <c r="AA200" s="80">
        <v>7</v>
      </c>
      <c r="AB200" s="42">
        <v>3710</v>
      </c>
      <c r="AC200" s="80">
        <v>7</v>
      </c>
      <c r="AD200" s="42">
        <v>3710</v>
      </c>
      <c r="AE200" s="29"/>
    </row>
    <row r="201" spans="1:32" ht="13.5" customHeight="1" x14ac:dyDescent="0.2">
      <c r="A201" s="24"/>
      <c r="B201" s="35"/>
      <c r="C201" s="51" t="s">
        <v>242</v>
      </c>
      <c r="D201" s="52">
        <f t="shared" si="82"/>
        <v>24</v>
      </c>
      <c r="E201" s="41" t="s">
        <v>243</v>
      </c>
      <c r="F201" s="42">
        <f t="shared" si="83"/>
        <v>5478</v>
      </c>
      <c r="G201" s="80">
        <v>2</v>
      </c>
      <c r="H201" s="42">
        <v>456.5</v>
      </c>
      <c r="I201" s="80">
        <v>2</v>
      </c>
      <c r="J201" s="42">
        <v>456.5</v>
      </c>
      <c r="K201" s="80">
        <v>2</v>
      </c>
      <c r="L201" s="42">
        <v>456.5</v>
      </c>
      <c r="M201" s="80">
        <v>2</v>
      </c>
      <c r="N201" s="42">
        <v>456.5</v>
      </c>
      <c r="O201" s="80">
        <v>2</v>
      </c>
      <c r="P201" s="42">
        <v>456.5</v>
      </c>
      <c r="Q201" s="80">
        <v>2</v>
      </c>
      <c r="R201" s="42">
        <v>456.5</v>
      </c>
      <c r="S201" s="80">
        <v>2</v>
      </c>
      <c r="T201" s="42">
        <v>456.5</v>
      </c>
      <c r="U201" s="80">
        <v>2</v>
      </c>
      <c r="V201" s="42">
        <v>456.5</v>
      </c>
      <c r="W201" s="80">
        <v>2</v>
      </c>
      <c r="X201" s="42">
        <v>456.5</v>
      </c>
      <c r="Y201" s="80">
        <v>2</v>
      </c>
      <c r="Z201" s="42">
        <v>456.5</v>
      </c>
      <c r="AA201" s="80">
        <v>2</v>
      </c>
      <c r="AB201" s="42">
        <v>456.5</v>
      </c>
      <c r="AC201" s="80">
        <v>2</v>
      </c>
      <c r="AD201" s="42">
        <v>456.5</v>
      </c>
      <c r="AE201" s="29"/>
    </row>
    <row r="202" spans="1:32" ht="14.25" customHeight="1" x14ac:dyDescent="0.2">
      <c r="A202" s="24"/>
      <c r="B202" s="35"/>
      <c r="C202" s="51" t="s">
        <v>244</v>
      </c>
      <c r="D202" s="52">
        <f t="shared" si="82"/>
        <v>84</v>
      </c>
      <c r="E202" s="41" t="s">
        <v>39</v>
      </c>
      <c r="F202" s="42">
        <f t="shared" si="83"/>
        <v>124400.04</v>
      </c>
      <c r="G202" s="80">
        <v>7</v>
      </c>
      <c r="H202" s="42">
        <v>10366.67</v>
      </c>
      <c r="I202" s="80">
        <v>7</v>
      </c>
      <c r="J202" s="42">
        <v>10366.67</v>
      </c>
      <c r="K202" s="80">
        <v>7</v>
      </c>
      <c r="L202" s="42">
        <v>10366.67</v>
      </c>
      <c r="M202" s="80">
        <v>7</v>
      </c>
      <c r="N202" s="42">
        <v>10366.67</v>
      </c>
      <c r="O202" s="80">
        <v>7</v>
      </c>
      <c r="P202" s="42">
        <v>10366.67</v>
      </c>
      <c r="Q202" s="80">
        <v>7</v>
      </c>
      <c r="R202" s="42">
        <v>10366.67</v>
      </c>
      <c r="S202" s="80">
        <v>7</v>
      </c>
      <c r="T202" s="42">
        <v>10366.67</v>
      </c>
      <c r="U202" s="80">
        <v>7</v>
      </c>
      <c r="V202" s="42">
        <v>10366.67</v>
      </c>
      <c r="W202" s="80">
        <v>7</v>
      </c>
      <c r="X202" s="42">
        <v>10366.67</v>
      </c>
      <c r="Y202" s="80">
        <v>7</v>
      </c>
      <c r="Z202" s="42">
        <v>10366.67</v>
      </c>
      <c r="AA202" s="80">
        <v>7</v>
      </c>
      <c r="AB202" s="42">
        <v>10366.67</v>
      </c>
      <c r="AC202" s="80">
        <v>7</v>
      </c>
      <c r="AD202" s="42">
        <v>10366.67</v>
      </c>
      <c r="AE202" s="29"/>
    </row>
    <row r="203" spans="1:32" ht="14.25" customHeight="1" x14ac:dyDescent="0.2">
      <c r="A203" s="24"/>
      <c r="B203" s="35"/>
      <c r="C203" s="51" t="s">
        <v>245</v>
      </c>
      <c r="D203" s="52">
        <f t="shared" si="82"/>
        <v>24</v>
      </c>
      <c r="E203" s="41" t="s">
        <v>39</v>
      </c>
      <c r="F203" s="42">
        <f t="shared" si="83"/>
        <v>1077.9600000000003</v>
      </c>
      <c r="G203" s="80">
        <v>2</v>
      </c>
      <c r="H203" s="42">
        <v>89.83</v>
      </c>
      <c r="I203" s="80">
        <v>2</v>
      </c>
      <c r="J203" s="42">
        <v>89.83</v>
      </c>
      <c r="K203" s="80">
        <v>2</v>
      </c>
      <c r="L203" s="42">
        <v>89.83</v>
      </c>
      <c r="M203" s="80">
        <v>2</v>
      </c>
      <c r="N203" s="42">
        <v>89.83</v>
      </c>
      <c r="O203" s="80">
        <v>2</v>
      </c>
      <c r="P203" s="42">
        <v>89.83</v>
      </c>
      <c r="Q203" s="80">
        <v>2</v>
      </c>
      <c r="R203" s="42">
        <v>89.83</v>
      </c>
      <c r="S203" s="80">
        <v>2</v>
      </c>
      <c r="T203" s="42">
        <v>89.83</v>
      </c>
      <c r="U203" s="80">
        <v>2</v>
      </c>
      <c r="V203" s="42">
        <v>89.83</v>
      </c>
      <c r="W203" s="80">
        <v>2</v>
      </c>
      <c r="X203" s="42">
        <v>89.83</v>
      </c>
      <c r="Y203" s="80">
        <v>2</v>
      </c>
      <c r="Z203" s="42">
        <v>89.83</v>
      </c>
      <c r="AA203" s="80">
        <v>2</v>
      </c>
      <c r="AB203" s="42">
        <v>89.83</v>
      </c>
      <c r="AC203" s="80">
        <v>2</v>
      </c>
      <c r="AD203" s="42">
        <v>89.83</v>
      </c>
      <c r="AE203" s="29"/>
    </row>
    <row r="204" spans="1:32" ht="12.75" customHeight="1" x14ac:dyDescent="0.2">
      <c r="A204" s="24"/>
      <c r="B204" s="35"/>
      <c r="C204" s="51" t="s">
        <v>246</v>
      </c>
      <c r="D204" s="52">
        <f t="shared" si="82"/>
        <v>84</v>
      </c>
      <c r="E204" s="41" t="s">
        <v>39</v>
      </c>
      <c r="F204" s="42">
        <f t="shared" si="83"/>
        <v>117199.92000000003</v>
      </c>
      <c r="G204" s="80">
        <v>7</v>
      </c>
      <c r="H204" s="42">
        <v>9766.66</v>
      </c>
      <c r="I204" s="80">
        <v>7</v>
      </c>
      <c r="J204" s="42">
        <v>9766.66</v>
      </c>
      <c r="K204" s="80">
        <v>7</v>
      </c>
      <c r="L204" s="42">
        <v>9766.66</v>
      </c>
      <c r="M204" s="80">
        <v>7</v>
      </c>
      <c r="N204" s="42">
        <v>9766.66</v>
      </c>
      <c r="O204" s="80">
        <v>7</v>
      </c>
      <c r="P204" s="42">
        <v>9766.66</v>
      </c>
      <c r="Q204" s="80">
        <v>7</v>
      </c>
      <c r="R204" s="42">
        <v>9766.66</v>
      </c>
      <c r="S204" s="80">
        <v>7</v>
      </c>
      <c r="T204" s="42">
        <v>9766.66</v>
      </c>
      <c r="U204" s="80">
        <v>7</v>
      </c>
      <c r="V204" s="42">
        <v>9766.66</v>
      </c>
      <c r="W204" s="80">
        <v>7</v>
      </c>
      <c r="X204" s="42">
        <v>9766.66</v>
      </c>
      <c r="Y204" s="80">
        <v>7</v>
      </c>
      <c r="Z204" s="42">
        <v>9766.66</v>
      </c>
      <c r="AA204" s="80">
        <v>7</v>
      </c>
      <c r="AB204" s="42">
        <v>9766.66</v>
      </c>
      <c r="AC204" s="80">
        <v>7</v>
      </c>
      <c r="AD204" s="42">
        <v>9766.66</v>
      </c>
      <c r="AE204" s="29"/>
    </row>
    <row r="205" spans="1:32" ht="17.25" customHeight="1" x14ac:dyDescent="0.2">
      <c r="A205" s="24"/>
      <c r="B205" s="31">
        <v>3000</v>
      </c>
      <c r="C205" s="31"/>
      <c r="D205" s="52"/>
      <c r="E205" s="81"/>
      <c r="F205" s="56">
        <f>F206+F217+F233+F240</f>
        <v>4178029.2</v>
      </c>
      <c r="G205" s="56"/>
      <c r="H205" s="56">
        <f>H206+H217+H233+H240</f>
        <v>275963.5</v>
      </c>
      <c r="I205" s="56"/>
      <c r="J205" s="56">
        <f>J206+J217+J233+J240</f>
        <v>405306.5</v>
      </c>
      <c r="K205" s="56"/>
      <c r="L205" s="56">
        <f>L206+L217+L233+L240</f>
        <v>381407.7</v>
      </c>
      <c r="M205" s="56"/>
      <c r="N205" s="56">
        <f>N206+N217+N233+N240</f>
        <v>528763.5</v>
      </c>
      <c r="O205" s="56"/>
      <c r="P205" s="56">
        <f>P206+P217+P233+P240</f>
        <v>313268.5</v>
      </c>
      <c r="Q205" s="56"/>
      <c r="R205" s="56">
        <f>R206+R217+R233+R240</f>
        <v>340968.5</v>
      </c>
      <c r="S205" s="56"/>
      <c r="T205" s="56">
        <f>T206+T217+T233+T240</f>
        <v>281713.5</v>
      </c>
      <c r="U205" s="56"/>
      <c r="V205" s="56">
        <f>V206+V217+V233+V240</f>
        <v>362968.5</v>
      </c>
      <c r="W205" s="56"/>
      <c r="X205" s="56">
        <f>X206+X217+X233+X240</f>
        <v>290768.5</v>
      </c>
      <c r="Y205" s="56"/>
      <c r="Z205" s="56">
        <f>Z206+Z217+Z233+Z240</f>
        <v>362663.5</v>
      </c>
      <c r="AA205" s="56"/>
      <c r="AB205" s="56">
        <f>AB206+AB217+AB233+AB240</f>
        <v>293268.5</v>
      </c>
      <c r="AC205" s="56"/>
      <c r="AD205" s="56">
        <f>AD206+AD217+AD233+AD240</f>
        <v>340968.5</v>
      </c>
      <c r="AE205" s="29"/>
    </row>
    <row r="206" spans="1:32" ht="12.75" customHeight="1" x14ac:dyDescent="0.2">
      <c r="A206" s="24"/>
      <c r="B206" s="30">
        <v>3100</v>
      </c>
      <c r="C206" s="31" t="s">
        <v>119</v>
      </c>
      <c r="D206" s="52"/>
      <c r="E206" s="81"/>
      <c r="F206" s="56">
        <f>SUM(F207+F209+F211+F213+F215)</f>
        <v>986264</v>
      </c>
      <c r="G206" s="56"/>
      <c r="H206" s="56">
        <f>SUM(H207+H209+H211+H213+H215)</f>
        <v>50052</v>
      </c>
      <c r="I206" s="56"/>
      <c r="J206" s="56">
        <f>SUM(J207+J209+J211+J213+J215)</f>
        <v>115057</v>
      </c>
      <c r="K206" s="56"/>
      <c r="L206" s="56">
        <f>SUM(L207+L209+L211+L213+L215)</f>
        <v>47857</v>
      </c>
      <c r="M206" s="56"/>
      <c r="N206" s="56">
        <f>SUM(N207+N209+N211+N213+N215)</f>
        <v>117252</v>
      </c>
      <c r="O206" s="56"/>
      <c r="P206" s="56">
        <f>SUM(P207+P209+P211+P213+P215)</f>
        <v>47857</v>
      </c>
      <c r="Q206" s="56"/>
      <c r="R206" s="56">
        <f>SUM(R207+R209+R211+R213+R215)</f>
        <v>115057</v>
      </c>
      <c r="S206" s="56"/>
      <c r="T206" s="56">
        <f>SUM(T207+T209+T211+T213+T215)</f>
        <v>50052</v>
      </c>
      <c r="U206" s="56"/>
      <c r="V206" s="56">
        <f>SUM(V207+V209+V211+V213+V215)</f>
        <v>115057</v>
      </c>
      <c r="W206" s="56"/>
      <c r="X206" s="56">
        <f>SUM(X207+X209+X211+X213+X215)</f>
        <v>47857</v>
      </c>
      <c r="Y206" s="56"/>
      <c r="Z206" s="56">
        <f>SUM(Z207+Z209+Z211+Z213+Z215)</f>
        <v>117252</v>
      </c>
      <c r="AA206" s="56"/>
      <c r="AB206" s="56">
        <f>SUM(AB207+AB209+AB211+AB213+AB215)</f>
        <v>47857</v>
      </c>
      <c r="AC206" s="56"/>
      <c r="AD206" s="56">
        <f>SUM(AD207+AD209+AD211+AD213+AD215)</f>
        <v>115057</v>
      </c>
      <c r="AE206" s="29"/>
    </row>
    <row r="207" spans="1:32" ht="13.5" customHeight="1" x14ac:dyDescent="0.2">
      <c r="A207" s="24"/>
      <c r="B207" s="35">
        <v>311</v>
      </c>
      <c r="C207" s="31"/>
      <c r="D207" s="52"/>
      <c r="E207" s="30"/>
      <c r="F207" s="36">
        <f>SUM(F208)</f>
        <v>806400</v>
      </c>
      <c r="G207" s="55"/>
      <c r="H207" s="56">
        <f>H208</f>
        <v>33600</v>
      </c>
      <c r="I207" s="56"/>
      <c r="J207" s="56">
        <f>J208</f>
        <v>100800</v>
      </c>
      <c r="K207" s="56"/>
      <c r="L207" s="56">
        <f>L208</f>
        <v>33600</v>
      </c>
      <c r="M207" s="56"/>
      <c r="N207" s="56">
        <f>N208</f>
        <v>100800</v>
      </c>
      <c r="O207" s="56"/>
      <c r="P207" s="56">
        <f>P208</f>
        <v>33600</v>
      </c>
      <c r="Q207" s="56"/>
      <c r="R207" s="56">
        <f>R208</f>
        <v>100800</v>
      </c>
      <c r="S207" s="56"/>
      <c r="T207" s="56">
        <f>T208</f>
        <v>33600</v>
      </c>
      <c r="U207" s="56"/>
      <c r="V207" s="56">
        <f>V208</f>
        <v>100800</v>
      </c>
      <c r="W207" s="56"/>
      <c r="X207" s="56">
        <f>X208</f>
        <v>33600</v>
      </c>
      <c r="Y207" s="56"/>
      <c r="Z207" s="56">
        <f>Z208</f>
        <v>100800</v>
      </c>
      <c r="AA207" s="56"/>
      <c r="AB207" s="56">
        <f>AB208</f>
        <v>33600</v>
      </c>
      <c r="AC207" s="56"/>
      <c r="AD207" s="56">
        <f>AD208</f>
        <v>100800</v>
      </c>
      <c r="AE207" s="29"/>
    </row>
    <row r="208" spans="1:32" ht="24.75" customHeight="1" x14ac:dyDescent="0.2">
      <c r="A208" s="24"/>
      <c r="B208" s="35"/>
      <c r="C208" s="51"/>
      <c r="D208" s="52">
        <f>G208+I208+K208+M208+O208+Q208+S208+U208+W208+Y208+AA208+AC208</f>
        <v>147600</v>
      </c>
      <c r="E208" s="41" t="s">
        <v>247</v>
      </c>
      <c r="F208" s="42">
        <f>SUM(H208,J208,L208,N208,P208,R208,T208,V208,X208,Z208,AB208,AD208)</f>
        <v>806400</v>
      </c>
      <c r="G208" s="53">
        <v>4600</v>
      </c>
      <c r="H208" s="46">
        <v>33600</v>
      </c>
      <c r="I208" s="53">
        <v>20000</v>
      </c>
      <c r="J208" s="46">
        <v>100800</v>
      </c>
      <c r="K208" s="53">
        <v>4600</v>
      </c>
      <c r="L208" s="46">
        <v>33600</v>
      </c>
      <c r="M208" s="53">
        <v>20000</v>
      </c>
      <c r="N208" s="46">
        <v>100800</v>
      </c>
      <c r="O208" s="53">
        <v>4600</v>
      </c>
      <c r="P208" s="46">
        <v>33600</v>
      </c>
      <c r="Q208" s="53">
        <v>20000</v>
      </c>
      <c r="R208" s="46">
        <v>100800</v>
      </c>
      <c r="S208" s="53">
        <v>4600</v>
      </c>
      <c r="T208" s="46">
        <v>33600</v>
      </c>
      <c r="U208" s="53">
        <v>20000</v>
      </c>
      <c r="V208" s="46">
        <v>100800</v>
      </c>
      <c r="W208" s="53">
        <v>4600</v>
      </c>
      <c r="X208" s="46">
        <v>33600</v>
      </c>
      <c r="Y208" s="53">
        <v>20000</v>
      </c>
      <c r="Z208" s="46">
        <v>100800</v>
      </c>
      <c r="AA208" s="53">
        <v>4600</v>
      </c>
      <c r="AB208" s="46">
        <v>33600</v>
      </c>
      <c r="AC208" s="53">
        <v>20000</v>
      </c>
      <c r="AD208" s="46">
        <v>100800</v>
      </c>
      <c r="AE208" s="29"/>
    </row>
    <row r="209" spans="1:31" ht="13.5" customHeight="1" x14ac:dyDescent="0.2">
      <c r="A209" s="24"/>
      <c r="B209" s="35">
        <v>313</v>
      </c>
      <c r="C209" s="31" t="s">
        <v>120</v>
      </c>
      <c r="D209" s="52"/>
      <c r="E209" s="30"/>
      <c r="F209" s="36">
        <f>F210</f>
        <v>28512</v>
      </c>
      <c r="G209" s="55"/>
      <c r="H209" s="56">
        <f>H210</f>
        <v>2376</v>
      </c>
      <c r="I209" s="55" t="s">
        <v>123</v>
      </c>
      <c r="J209" s="56">
        <f>J210</f>
        <v>2376</v>
      </c>
      <c r="K209" s="55" t="s">
        <v>123</v>
      </c>
      <c r="L209" s="56">
        <f>L210</f>
        <v>2376</v>
      </c>
      <c r="M209" s="55" t="s">
        <v>123</v>
      </c>
      <c r="N209" s="56">
        <f>N210</f>
        <v>2376</v>
      </c>
      <c r="O209" s="55" t="s">
        <v>123</v>
      </c>
      <c r="P209" s="56">
        <f>P210</f>
        <v>2376</v>
      </c>
      <c r="Q209" s="55" t="s">
        <v>123</v>
      </c>
      <c r="R209" s="56">
        <f>R210</f>
        <v>2376</v>
      </c>
      <c r="S209" s="55" t="s">
        <v>123</v>
      </c>
      <c r="T209" s="56">
        <f>T210</f>
        <v>2376</v>
      </c>
      <c r="U209" s="55" t="s">
        <v>123</v>
      </c>
      <c r="V209" s="56">
        <f>V210</f>
        <v>2376</v>
      </c>
      <c r="W209" s="55" t="s">
        <v>123</v>
      </c>
      <c r="X209" s="56">
        <f>X210</f>
        <v>2376</v>
      </c>
      <c r="Y209" s="55" t="s">
        <v>123</v>
      </c>
      <c r="Z209" s="56">
        <f>Z210</f>
        <v>2376</v>
      </c>
      <c r="AA209" s="55" t="s">
        <v>123</v>
      </c>
      <c r="AB209" s="56">
        <f>AB210</f>
        <v>2376</v>
      </c>
      <c r="AC209" s="55" t="s">
        <v>123</v>
      </c>
      <c r="AD209" s="56">
        <f>AD210</f>
        <v>2376</v>
      </c>
      <c r="AE209" s="29"/>
    </row>
    <row r="210" spans="1:31" ht="15" customHeight="1" x14ac:dyDescent="0.2">
      <c r="A210" s="24"/>
      <c r="B210" s="35"/>
      <c r="C210" s="51"/>
      <c r="D210" s="52">
        <f>G210+I210+K210+M210+O210+Q210+S210+U210+W210+Y210+AA210+AC210</f>
        <v>48</v>
      </c>
      <c r="E210" s="41" t="s">
        <v>248</v>
      </c>
      <c r="F210" s="42">
        <f>SUM(H210,J210,L210,N210,P210,R210,T210,V210,X210,Z210,AB210,AD210)</f>
        <v>28512</v>
      </c>
      <c r="G210" s="53">
        <v>4</v>
      </c>
      <c r="H210" s="46">
        <v>2376</v>
      </c>
      <c r="I210" s="53">
        <v>4</v>
      </c>
      <c r="J210" s="46">
        <v>2376</v>
      </c>
      <c r="K210" s="53">
        <v>4</v>
      </c>
      <c r="L210" s="46">
        <v>2376</v>
      </c>
      <c r="M210" s="53">
        <v>4</v>
      </c>
      <c r="N210" s="46">
        <v>2376</v>
      </c>
      <c r="O210" s="53">
        <v>4</v>
      </c>
      <c r="P210" s="46">
        <v>2376</v>
      </c>
      <c r="Q210" s="53">
        <v>4</v>
      </c>
      <c r="R210" s="46">
        <v>2376</v>
      </c>
      <c r="S210" s="53">
        <v>4</v>
      </c>
      <c r="T210" s="46">
        <v>2376</v>
      </c>
      <c r="U210" s="53">
        <v>4</v>
      </c>
      <c r="V210" s="46">
        <v>2376</v>
      </c>
      <c r="W210" s="53">
        <v>4</v>
      </c>
      <c r="X210" s="46">
        <v>2376</v>
      </c>
      <c r="Y210" s="53">
        <v>4</v>
      </c>
      <c r="Z210" s="46">
        <v>2376</v>
      </c>
      <c r="AA210" s="53">
        <v>4</v>
      </c>
      <c r="AB210" s="46">
        <v>2376</v>
      </c>
      <c r="AC210" s="53">
        <v>4</v>
      </c>
      <c r="AD210" s="46">
        <v>2376</v>
      </c>
      <c r="AE210" s="29"/>
    </row>
    <row r="211" spans="1:31" ht="12.75" customHeight="1" x14ac:dyDescent="0.2">
      <c r="A211" s="24"/>
      <c r="B211" s="35">
        <v>314</v>
      </c>
      <c r="C211" s="31"/>
      <c r="D211" s="52"/>
      <c r="E211" s="30"/>
      <c r="F211" s="36">
        <f>F212</f>
        <v>118128</v>
      </c>
      <c r="G211" s="55"/>
      <c r="H211" s="56">
        <f>H212</f>
        <v>9844</v>
      </c>
      <c r="I211" s="56"/>
      <c r="J211" s="56">
        <f>J212</f>
        <v>9844</v>
      </c>
      <c r="K211" s="56"/>
      <c r="L211" s="56">
        <f>L212</f>
        <v>9844</v>
      </c>
      <c r="M211" s="56"/>
      <c r="N211" s="56">
        <f>N212</f>
        <v>9844</v>
      </c>
      <c r="O211" s="56"/>
      <c r="P211" s="56">
        <f>P212</f>
        <v>9844</v>
      </c>
      <c r="Q211" s="56"/>
      <c r="R211" s="56">
        <f>R212</f>
        <v>9844</v>
      </c>
      <c r="S211" s="56"/>
      <c r="T211" s="56">
        <f>T212</f>
        <v>9844</v>
      </c>
      <c r="U211" s="56"/>
      <c r="V211" s="56">
        <f>V212</f>
        <v>9844</v>
      </c>
      <c r="W211" s="56"/>
      <c r="X211" s="56">
        <f>X212</f>
        <v>9844</v>
      </c>
      <c r="Y211" s="56"/>
      <c r="Z211" s="56">
        <f>Z212</f>
        <v>9844</v>
      </c>
      <c r="AA211" s="56"/>
      <c r="AB211" s="56">
        <f>AB212</f>
        <v>9844</v>
      </c>
      <c r="AC211" s="56"/>
      <c r="AD211" s="56">
        <f>AD212</f>
        <v>9844</v>
      </c>
      <c r="AE211" s="29"/>
    </row>
    <row r="212" spans="1:31" ht="14.25" customHeight="1" x14ac:dyDescent="0.2">
      <c r="A212" s="24"/>
      <c r="B212" s="35"/>
      <c r="C212" s="51" t="s">
        <v>121</v>
      </c>
      <c r="D212" s="52">
        <f>G212+I212+K212+M212+O212+Q212+S212+U212+W212+Y212+AA212+AC212</f>
        <v>12</v>
      </c>
      <c r="E212" s="41" t="s">
        <v>249</v>
      </c>
      <c r="F212" s="42">
        <f>SUM(H212,J212,L212,N212,P212,R212,T212,V212,X212,Z212,AB212,AD212)</f>
        <v>118128</v>
      </c>
      <c r="G212" s="53">
        <v>1</v>
      </c>
      <c r="H212" s="46">
        <v>9844</v>
      </c>
      <c r="I212" s="53">
        <v>1</v>
      </c>
      <c r="J212" s="46">
        <v>9844</v>
      </c>
      <c r="K212" s="53">
        <v>1</v>
      </c>
      <c r="L212" s="46">
        <v>9844</v>
      </c>
      <c r="M212" s="53">
        <v>1</v>
      </c>
      <c r="N212" s="46">
        <v>9844</v>
      </c>
      <c r="O212" s="53">
        <v>1</v>
      </c>
      <c r="P212" s="46">
        <v>9844</v>
      </c>
      <c r="Q212" s="53">
        <v>1</v>
      </c>
      <c r="R212" s="46">
        <v>9844</v>
      </c>
      <c r="S212" s="53">
        <v>1</v>
      </c>
      <c r="T212" s="46">
        <v>9844</v>
      </c>
      <c r="U212" s="53">
        <v>1</v>
      </c>
      <c r="V212" s="46">
        <v>9844</v>
      </c>
      <c r="W212" s="53">
        <v>1</v>
      </c>
      <c r="X212" s="46">
        <v>9844</v>
      </c>
      <c r="Y212" s="53">
        <v>1</v>
      </c>
      <c r="Z212" s="46">
        <v>9844</v>
      </c>
      <c r="AA212" s="53">
        <v>1</v>
      </c>
      <c r="AB212" s="46">
        <v>9844</v>
      </c>
      <c r="AC212" s="53">
        <v>1</v>
      </c>
      <c r="AD212" s="46">
        <v>9844</v>
      </c>
      <c r="AE212" s="29"/>
    </row>
    <row r="213" spans="1:31" ht="22.5" customHeight="1" x14ac:dyDescent="0.2">
      <c r="A213" s="24"/>
      <c r="B213" s="35">
        <v>317</v>
      </c>
      <c r="C213" s="31"/>
      <c r="D213" s="52"/>
      <c r="E213" s="30"/>
      <c r="F213" s="36">
        <f>SUM(F214:F214)</f>
        <v>17244</v>
      </c>
      <c r="G213" s="55"/>
      <c r="H213" s="56">
        <f>SUM(H214)</f>
        <v>1437</v>
      </c>
      <c r="I213" s="56"/>
      <c r="J213" s="56">
        <f>SUM(J214)</f>
        <v>1437</v>
      </c>
      <c r="K213" s="56"/>
      <c r="L213" s="56">
        <f>SUM(L214)</f>
        <v>1437</v>
      </c>
      <c r="M213" s="56"/>
      <c r="N213" s="56">
        <f>SUM(N214)</f>
        <v>1437</v>
      </c>
      <c r="O213" s="56"/>
      <c r="P213" s="56">
        <f>SUM(P214)</f>
        <v>1437</v>
      </c>
      <c r="Q213" s="56"/>
      <c r="R213" s="56">
        <f>SUM(R214)</f>
        <v>1437</v>
      </c>
      <c r="S213" s="56"/>
      <c r="T213" s="56">
        <f>SUM(T214)</f>
        <v>1437</v>
      </c>
      <c r="U213" s="56"/>
      <c r="V213" s="56">
        <f>SUM(V214)</f>
        <v>1437</v>
      </c>
      <c r="W213" s="56"/>
      <c r="X213" s="56">
        <f>SUM(X214)</f>
        <v>1437</v>
      </c>
      <c r="Y213" s="56"/>
      <c r="Z213" s="56">
        <f>SUM(Z214)</f>
        <v>1437</v>
      </c>
      <c r="AA213" s="56"/>
      <c r="AB213" s="56">
        <f>SUM(AB214)</f>
        <v>1437</v>
      </c>
      <c r="AC213" s="56"/>
      <c r="AD213" s="56">
        <f>SUM(AD214)</f>
        <v>1437</v>
      </c>
      <c r="AE213" s="29"/>
    </row>
    <row r="214" spans="1:31" ht="19.149999999999999" customHeight="1" x14ac:dyDescent="0.2">
      <c r="A214" s="66"/>
      <c r="B214" s="46"/>
      <c r="C214" s="51"/>
      <c r="D214" s="52">
        <f>G214+I214+K214+M214+O214+Q214+S214+U214+W214+Y214+AA214+AC214</f>
        <v>12</v>
      </c>
      <c r="E214" s="82" t="s">
        <v>250</v>
      </c>
      <c r="F214" s="42">
        <f>SUM(H214,J214,L214,N214,P214,R214,T214,V214,X214,Z214,AB214,AD214)</f>
        <v>17244</v>
      </c>
      <c r="G214" s="53">
        <v>1</v>
      </c>
      <c r="H214" s="46">
        <v>1437</v>
      </c>
      <c r="I214" s="53">
        <v>1</v>
      </c>
      <c r="J214" s="46">
        <v>1437</v>
      </c>
      <c r="K214" s="53">
        <v>1</v>
      </c>
      <c r="L214" s="46">
        <v>1437</v>
      </c>
      <c r="M214" s="53">
        <v>1</v>
      </c>
      <c r="N214" s="46">
        <v>1437</v>
      </c>
      <c r="O214" s="53">
        <v>1</v>
      </c>
      <c r="P214" s="46">
        <v>1437</v>
      </c>
      <c r="Q214" s="53">
        <v>1</v>
      </c>
      <c r="R214" s="46">
        <v>1437</v>
      </c>
      <c r="S214" s="53">
        <v>1</v>
      </c>
      <c r="T214" s="46">
        <v>1437</v>
      </c>
      <c r="U214" s="53">
        <v>1</v>
      </c>
      <c r="V214" s="46">
        <v>1437</v>
      </c>
      <c r="W214" s="53">
        <v>1</v>
      </c>
      <c r="X214" s="46">
        <v>1437</v>
      </c>
      <c r="Y214" s="53">
        <v>1</v>
      </c>
      <c r="Z214" s="46">
        <v>1437</v>
      </c>
      <c r="AA214" s="53">
        <v>1</v>
      </c>
      <c r="AB214" s="46">
        <v>1437</v>
      </c>
      <c r="AC214" s="53">
        <v>1</v>
      </c>
      <c r="AD214" s="46">
        <v>1437</v>
      </c>
      <c r="AE214" s="29"/>
    </row>
    <row r="215" spans="1:31" ht="12.75" customHeight="1" x14ac:dyDescent="0.2">
      <c r="A215" s="24"/>
      <c r="B215" s="35">
        <v>318</v>
      </c>
      <c r="C215" s="31" t="s">
        <v>251</v>
      </c>
      <c r="D215" s="52"/>
      <c r="E215" s="30"/>
      <c r="F215" s="36">
        <f>F216</f>
        <v>15980</v>
      </c>
      <c r="G215" s="55"/>
      <c r="H215" s="56">
        <f>H216</f>
        <v>2795</v>
      </c>
      <c r="I215" s="56"/>
      <c r="J215" s="56">
        <f>J216</f>
        <v>600</v>
      </c>
      <c r="K215" s="56"/>
      <c r="L215" s="56">
        <f>L216</f>
        <v>600</v>
      </c>
      <c r="M215" s="56"/>
      <c r="N215" s="56">
        <f>N216</f>
        <v>2795</v>
      </c>
      <c r="O215" s="56"/>
      <c r="P215" s="56">
        <f>P216</f>
        <v>600</v>
      </c>
      <c r="Q215" s="56"/>
      <c r="R215" s="56">
        <f>R216</f>
        <v>600</v>
      </c>
      <c r="S215" s="56"/>
      <c r="T215" s="56">
        <f>T216</f>
        <v>2795</v>
      </c>
      <c r="U215" s="56"/>
      <c r="V215" s="56">
        <f>V216</f>
        <v>600</v>
      </c>
      <c r="W215" s="56"/>
      <c r="X215" s="56">
        <f>X216</f>
        <v>600</v>
      </c>
      <c r="Y215" s="56"/>
      <c r="Z215" s="56">
        <f>Z216</f>
        <v>2795</v>
      </c>
      <c r="AA215" s="56"/>
      <c r="AB215" s="56">
        <f>AB216</f>
        <v>600</v>
      </c>
      <c r="AC215" s="56"/>
      <c r="AD215" s="56">
        <f>AD216</f>
        <v>600</v>
      </c>
      <c r="AE215" s="29"/>
    </row>
    <row r="216" spans="1:31" ht="36.75" customHeight="1" x14ac:dyDescent="0.2">
      <c r="A216" s="24"/>
      <c r="B216" s="35"/>
      <c r="C216" s="51" t="s">
        <v>252</v>
      </c>
      <c r="D216" s="52">
        <f>G216+I216+K216+M216+O216+Q216+S216+U216+W216+Y216+AA216+AC216</f>
        <v>124</v>
      </c>
      <c r="E216" s="41" t="s">
        <v>249</v>
      </c>
      <c r="F216" s="42">
        <f>H216+J216+L216+N216+P216+R216+T216+V216+X216+Z216+AB216+AD216</f>
        <v>15980</v>
      </c>
      <c r="G216" s="53">
        <v>25</v>
      </c>
      <c r="H216" s="46">
        <v>2795</v>
      </c>
      <c r="I216" s="53">
        <v>3</v>
      </c>
      <c r="J216" s="46">
        <v>600</v>
      </c>
      <c r="K216" s="53">
        <v>3</v>
      </c>
      <c r="L216" s="46">
        <v>600</v>
      </c>
      <c r="M216" s="53">
        <v>25</v>
      </c>
      <c r="N216" s="46">
        <v>2795</v>
      </c>
      <c r="O216" s="53">
        <v>3</v>
      </c>
      <c r="P216" s="46">
        <v>600</v>
      </c>
      <c r="Q216" s="53">
        <v>3</v>
      </c>
      <c r="R216" s="46">
        <v>600</v>
      </c>
      <c r="S216" s="53">
        <v>25</v>
      </c>
      <c r="T216" s="46">
        <v>2795</v>
      </c>
      <c r="U216" s="53">
        <v>3</v>
      </c>
      <c r="V216" s="46">
        <v>600</v>
      </c>
      <c r="W216" s="53">
        <v>3</v>
      </c>
      <c r="X216" s="46">
        <v>600</v>
      </c>
      <c r="Y216" s="53">
        <v>25</v>
      </c>
      <c r="Z216" s="46">
        <v>2795</v>
      </c>
      <c r="AA216" s="53">
        <v>3</v>
      </c>
      <c r="AB216" s="46">
        <v>600</v>
      </c>
      <c r="AC216" s="53">
        <v>3</v>
      </c>
      <c r="AD216" s="46">
        <v>600</v>
      </c>
      <c r="AE216" s="29"/>
    </row>
    <row r="217" spans="1:31" ht="15" customHeight="1" x14ac:dyDescent="0.2">
      <c r="A217" s="24"/>
      <c r="B217" s="30">
        <v>3200</v>
      </c>
      <c r="C217" s="31" t="s">
        <v>253</v>
      </c>
      <c r="D217" s="52"/>
      <c r="E217" s="30"/>
      <c r="F217" s="56">
        <f>SUM(F218+F223+F228+F226)</f>
        <v>2722526</v>
      </c>
      <c r="G217" s="56"/>
      <c r="H217" s="56">
        <f>SUM(H218+H223+H228+H226)</f>
        <v>224611.5</v>
      </c>
      <c r="I217" s="56"/>
      <c r="J217" s="56">
        <f>SUM(J218+J223+J228+J226)</f>
        <v>231799.5</v>
      </c>
      <c r="K217" s="56"/>
      <c r="L217" s="56">
        <f>SUM(L218+L223+L228+L226)</f>
        <v>224611.5</v>
      </c>
      <c r="M217" s="56"/>
      <c r="N217" s="56">
        <f>SUM(N218+N223+N228+N226)</f>
        <v>237111.5</v>
      </c>
      <c r="O217" s="56"/>
      <c r="P217" s="56">
        <f>SUM(P218+P223+P228+P226)</f>
        <v>224611.5</v>
      </c>
      <c r="Q217" s="56"/>
      <c r="R217" s="56">
        <f>SUM(R218+R223+R228+R226)</f>
        <v>224611.5</v>
      </c>
      <c r="S217" s="56"/>
      <c r="T217" s="56">
        <f>SUM(T218+T223+T228+T226)</f>
        <v>224611.5</v>
      </c>
      <c r="U217" s="56"/>
      <c r="V217" s="56">
        <f>SUM(V218+V223+V228+V226)</f>
        <v>232111.5</v>
      </c>
      <c r="W217" s="56"/>
      <c r="X217" s="56">
        <f>SUM(X218+X223+X228+X226)</f>
        <v>224611.5</v>
      </c>
      <c r="Y217" s="56"/>
      <c r="Z217" s="56">
        <f>SUM(Z218+Z223+Z228+Z226)</f>
        <v>224611.5</v>
      </c>
      <c r="AA217" s="56"/>
      <c r="AB217" s="56">
        <f>SUM(AB218+AB223+AB228+AB226)</f>
        <v>224611.5</v>
      </c>
      <c r="AC217" s="56"/>
      <c r="AD217" s="56">
        <f>SUM(AD218+AD223+AD228+AD226)</f>
        <v>224611.5</v>
      </c>
      <c r="AE217" s="29"/>
    </row>
    <row r="218" spans="1:31" ht="13.5" customHeight="1" x14ac:dyDescent="0.2">
      <c r="A218" s="24"/>
      <c r="B218" s="35">
        <v>322</v>
      </c>
      <c r="C218" s="31" t="s">
        <v>254</v>
      </c>
      <c r="D218" s="52"/>
      <c r="E218" s="30"/>
      <c r="F218" s="36">
        <f>F219+F220+F221+F222</f>
        <v>2130090</v>
      </c>
      <c r="G218" s="55" t="s">
        <v>123</v>
      </c>
      <c r="H218" s="36">
        <f>SUM(H219:H222)</f>
        <v>177507.5</v>
      </c>
      <c r="I218" s="36"/>
      <c r="J218" s="36">
        <f>SUM(J219:J222)</f>
        <v>177507.5</v>
      </c>
      <c r="K218" s="36"/>
      <c r="L218" s="36">
        <f>SUM(L219:L222)</f>
        <v>177507.5</v>
      </c>
      <c r="M218" s="36"/>
      <c r="N218" s="36">
        <f>SUM(N219:N222)</f>
        <v>177507.5</v>
      </c>
      <c r="O218" s="36"/>
      <c r="P218" s="36">
        <f>SUM(P219:P222)</f>
        <v>177507.5</v>
      </c>
      <c r="Q218" s="36"/>
      <c r="R218" s="36">
        <f>SUM(R219:R222)</f>
        <v>177507.5</v>
      </c>
      <c r="S218" s="36"/>
      <c r="T218" s="36">
        <f>SUM(T219:T222)</f>
        <v>177507.5</v>
      </c>
      <c r="U218" s="36"/>
      <c r="V218" s="36">
        <f>SUM(V219:V222)</f>
        <v>177507.5</v>
      </c>
      <c r="W218" s="36"/>
      <c r="X218" s="36">
        <f>SUM(X219:X222)</f>
        <v>177507.5</v>
      </c>
      <c r="Y218" s="36"/>
      <c r="Z218" s="36">
        <f>SUM(Z219:Z222)</f>
        <v>177507.5</v>
      </c>
      <c r="AA218" s="36"/>
      <c r="AB218" s="36">
        <f>SUM(AB219:AB222)</f>
        <v>177507.5</v>
      </c>
      <c r="AC218" s="36"/>
      <c r="AD218" s="36">
        <f>SUM(AD219:AD222)</f>
        <v>177507.5</v>
      </c>
      <c r="AE218" s="29"/>
    </row>
    <row r="219" spans="1:31" ht="25.7" customHeight="1" x14ac:dyDescent="0.2">
      <c r="A219" s="24"/>
      <c r="B219" s="35"/>
      <c r="C219" s="51" t="s">
        <v>255</v>
      </c>
      <c r="D219" s="52">
        <f>G219+I219+K219+M219+O219+Q219+S219+U219+W219+Y219+AA219+AC219</f>
        <v>12</v>
      </c>
      <c r="E219" s="82" t="s">
        <v>250</v>
      </c>
      <c r="F219" s="42">
        <f t="shared" ref="F219:F224" si="84">H219+J219+L219+N219+P219+R219+T219+V219+X219+Z219+AB219+AD219</f>
        <v>785172</v>
      </c>
      <c r="G219" s="53">
        <v>1</v>
      </c>
      <c r="H219" s="46">
        <v>65431</v>
      </c>
      <c r="I219" s="53">
        <v>1</v>
      </c>
      <c r="J219" s="46">
        <f>H219</f>
        <v>65431</v>
      </c>
      <c r="K219" s="53">
        <v>1</v>
      </c>
      <c r="L219" s="46">
        <f>H219</f>
        <v>65431</v>
      </c>
      <c r="M219" s="53">
        <v>1</v>
      </c>
      <c r="N219" s="46">
        <f>H219</f>
        <v>65431</v>
      </c>
      <c r="O219" s="53">
        <v>1</v>
      </c>
      <c r="P219" s="46">
        <f>H219</f>
        <v>65431</v>
      </c>
      <c r="Q219" s="53">
        <v>1</v>
      </c>
      <c r="R219" s="46">
        <f>H219</f>
        <v>65431</v>
      </c>
      <c r="S219" s="53">
        <v>1</v>
      </c>
      <c r="T219" s="46">
        <f>H219</f>
        <v>65431</v>
      </c>
      <c r="U219" s="53">
        <v>1</v>
      </c>
      <c r="V219" s="46">
        <f>H219</f>
        <v>65431</v>
      </c>
      <c r="W219" s="53">
        <v>1</v>
      </c>
      <c r="X219" s="46">
        <f>H219</f>
        <v>65431</v>
      </c>
      <c r="Y219" s="53">
        <v>1</v>
      </c>
      <c r="Z219" s="46">
        <f>H219</f>
        <v>65431</v>
      </c>
      <c r="AA219" s="53">
        <v>1</v>
      </c>
      <c r="AB219" s="46">
        <f>H219</f>
        <v>65431</v>
      </c>
      <c r="AC219" s="53">
        <v>1</v>
      </c>
      <c r="AD219" s="46">
        <f>H219</f>
        <v>65431</v>
      </c>
      <c r="AE219" s="29"/>
    </row>
    <row r="220" spans="1:31" ht="32.25" customHeight="1" x14ac:dyDescent="0.2">
      <c r="A220" s="24"/>
      <c r="B220" s="35"/>
      <c r="C220" s="51" t="s">
        <v>256</v>
      </c>
      <c r="D220" s="52">
        <f>G220+I220+K220+M220+O220+Q220+S220+U220+W220+Y220+AA220+AC220</f>
        <v>12</v>
      </c>
      <c r="E220" s="82" t="s">
        <v>250</v>
      </c>
      <c r="F220" s="42">
        <f t="shared" si="84"/>
        <v>613008</v>
      </c>
      <c r="G220" s="53">
        <v>1</v>
      </c>
      <c r="H220" s="46">
        <v>51084</v>
      </c>
      <c r="I220" s="53">
        <v>1</v>
      </c>
      <c r="J220" s="46">
        <f>H220</f>
        <v>51084</v>
      </c>
      <c r="K220" s="53">
        <v>1</v>
      </c>
      <c r="L220" s="46">
        <f>H220</f>
        <v>51084</v>
      </c>
      <c r="M220" s="53">
        <v>1</v>
      </c>
      <c r="N220" s="46">
        <f>H220</f>
        <v>51084</v>
      </c>
      <c r="O220" s="83">
        <v>1</v>
      </c>
      <c r="P220" s="46">
        <f>H220</f>
        <v>51084</v>
      </c>
      <c r="Q220" s="53">
        <v>1</v>
      </c>
      <c r="R220" s="46">
        <f>H220</f>
        <v>51084</v>
      </c>
      <c r="S220" s="53">
        <v>1</v>
      </c>
      <c r="T220" s="46">
        <f>H220</f>
        <v>51084</v>
      </c>
      <c r="U220" s="53">
        <v>1</v>
      </c>
      <c r="V220" s="46">
        <f>H220</f>
        <v>51084</v>
      </c>
      <c r="W220" s="53">
        <v>1</v>
      </c>
      <c r="X220" s="46">
        <f>H220</f>
        <v>51084</v>
      </c>
      <c r="Y220" s="53">
        <v>1</v>
      </c>
      <c r="Z220" s="46">
        <f>H220</f>
        <v>51084</v>
      </c>
      <c r="AA220" s="53">
        <v>1</v>
      </c>
      <c r="AB220" s="46">
        <f>H220</f>
        <v>51084</v>
      </c>
      <c r="AC220" s="53">
        <v>1</v>
      </c>
      <c r="AD220" s="46">
        <f>H220</f>
        <v>51084</v>
      </c>
      <c r="AE220" s="29"/>
    </row>
    <row r="221" spans="1:31" ht="27.4" customHeight="1" x14ac:dyDescent="0.2">
      <c r="A221" s="24"/>
      <c r="B221" s="35"/>
      <c r="C221" s="51" t="s">
        <v>256</v>
      </c>
      <c r="D221" s="52">
        <f>G221+I221+K221+M221+O221+Q221+S221+U221+W221+Y221+AA221+AC221</f>
        <v>12</v>
      </c>
      <c r="E221" s="82" t="s">
        <v>250</v>
      </c>
      <c r="F221" s="42">
        <f t="shared" si="84"/>
        <v>487380</v>
      </c>
      <c r="G221" s="53">
        <v>1</v>
      </c>
      <c r="H221" s="46">
        <v>40615</v>
      </c>
      <c r="I221" s="53">
        <v>1</v>
      </c>
      <c r="J221" s="46">
        <f>H221</f>
        <v>40615</v>
      </c>
      <c r="K221" s="46">
        <v>1</v>
      </c>
      <c r="L221" s="46">
        <f>H221</f>
        <v>40615</v>
      </c>
      <c r="M221" s="53">
        <v>1</v>
      </c>
      <c r="N221" s="46">
        <f>H221</f>
        <v>40615</v>
      </c>
      <c r="O221" s="53">
        <v>1</v>
      </c>
      <c r="P221" s="46">
        <f>H221</f>
        <v>40615</v>
      </c>
      <c r="Q221" s="53">
        <v>1</v>
      </c>
      <c r="R221" s="46">
        <f>H221</f>
        <v>40615</v>
      </c>
      <c r="S221" s="53">
        <v>1</v>
      </c>
      <c r="T221" s="46">
        <f>H221</f>
        <v>40615</v>
      </c>
      <c r="U221" s="53">
        <v>1</v>
      </c>
      <c r="V221" s="46">
        <f>H221</f>
        <v>40615</v>
      </c>
      <c r="W221" s="53">
        <v>1</v>
      </c>
      <c r="X221" s="46">
        <f>H221</f>
        <v>40615</v>
      </c>
      <c r="Y221" s="53">
        <v>1</v>
      </c>
      <c r="Z221" s="46">
        <f>H221</f>
        <v>40615</v>
      </c>
      <c r="AA221" s="53">
        <v>1</v>
      </c>
      <c r="AB221" s="46">
        <f>H221</f>
        <v>40615</v>
      </c>
      <c r="AC221" s="53">
        <v>1</v>
      </c>
      <c r="AD221" s="46">
        <f>H221</f>
        <v>40615</v>
      </c>
      <c r="AE221" s="29"/>
    </row>
    <row r="222" spans="1:31" ht="35.65" customHeight="1" x14ac:dyDescent="0.2">
      <c r="A222" s="24"/>
      <c r="B222" s="35"/>
      <c r="C222" s="51" t="s">
        <v>257</v>
      </c>
      <c r="D222" s="52">
        <f>G222+I222+K222+M222+O222+Q222+S222+U222+W222+Y222+AA222+AC222</f>
        <v>12</v>
      </c>
      <c r="E222" s="82" t="s">
        <v>250</v>
      </c>
      <c r="F222" s="42">
        <f t="shared" si="84"/>
        <v>244530</v>
      </c>
      <c r="G222" s="53">
        <v>1</v>
      </c>
      <c r="H222" s="46">
        <v>20377.5</v>
      </c>
      <c r="I222" s="53">
        <v>1</v>
      </c>
      <c r="J222" s="46">
        <f>H222</f>
        <v>20377.5</v>
      </c>
      <c r="K222" s="53">
        <v>1</v>
      </c>
      <c r="L222" s="46">
        <f>H222</f>
        <v>20377.5</v>
      </c>
      <c r="M222" s="53">
        <v>1</v>
      </c>
      <c r="N222" s="46">
        <f>H222</f>
        <v>20377.5</v>
      </c>
      <c r="O222" s="53">
        <v>1</v>
      </c>
      <c r="P222" s="46">
        <f>H222</f>
        <v>20377.5</v>
      </c>
      <c r="Q222" s="53">
        <v>1</v>
      </c>
      <c r="R222" s="46">
        <f>H222</f>
        <v>20377.5</v>
      </c>
      <c r="S222" s="53">
        <v>1</v>
      </c>
      <c r="T222" s="46">
        <f>H222</f>
        <v>20377.5</v>
      </c>
      <c r="U222" s="53">
        <v>1</v>
      </c>
      <c r="V222" s="46">
        <f>H222</f>
        <v>20377.5</v>
      </c>
      <c r="W222" s="53">
        <v>1</v>
      </c>
      <c r="X222" s="46">
        <f>H222</f>
        <v>20377.5</v>
      </c>
      <c r="Y222" s="53">
        <v>1</v>
      </c>
      <c r="Z222" s="46">
        <f>H222</f>
        <v>20377.5</v>
      </c>
      <c r="AA222" s="53">
        <v>1</v>
      </c>
      <c r="AB222" s="46">
        <f>H222</f>
        <v>20377.5</v>
      </c>
      <c r="AC222" s="53">
        <v>1</v>
      </c>
      <c r="AD222" s="46">
        <f>H222</f>
        <v>20377.5</v>
      </c>
      <c r="AE222" s="29"/>
    </row>
    <row r="223" spans="1:31" ht="22.5" customHeight="1" x14ac:dyDescent="0.2">
      <c r="A223" s="24"/>
      <c r="B223" s="35">
        <v>323</v>
      </c>
      <c r="C223" s="31" t="s">
        <v>258</v>
      </c>
      <c r="D223" s="52"/>
      <c r="E223" s="30"/>
      <c r="F223" s="36">
        <f t="shared" si="84"/>
        <v>460976</v>
      </c>
      <c r="G223" s="55" t="s">
        <v>123</v>
      </c>
      <c r="H223" s="36">
        <f>H224+H225</f>
        <v>36748</v>
      </c>
      <c r="I223" s="55" t="s">
        <v>123</v>
      </c>
      <c r="J223" s="36">
        <f>J224+J225</f>
        <v>36748</v>
      </c>
      <c r="K223" s="55" t="s">
        <v>123</v>
      </c>
      <c r="L223" s="36">
        <f>L224+L225</f>
        <v>36748</v>
      </c>
      <c r="M223" s="55" t="s">
        <v>123</v>
      </c>
      <c r="N223" s="36">
        <f>N224+N225</f>
        <v>49248</v>
      </c>
      <c r="O223" s="55" t="s">
        <v>123</v>
      </c>
      <c r="P223" s="36">
        <f>P224+P225</f>
        <v>36748</v>
      </c>
      <c r="Q223" s="55" t="s">
        <v>123</v>
      </c>
      <c r="R223" s="36">
        <f>R224+R225</f>
        <v>36748</v>
      </c>
      <c r="S223" s="55" t="s">
        <v>123</v>
      </c>
      <c r="T223" s="36">
        <f>T224+T225</f>
        <v>36748</v>
      </c>
      <c r="U223" s="55" t="s">
        <v>123</v>
      </c>
      <c r="V223" s="36">
        <f>V224+V225</f>
        <v>44248</v>
      </c>
      <c r="W223" s="55" t="s">
        <v>123</v>
      </c>
      <c r="X223" s="36">
        <f>X224+X225</f>
        <v>36748</v>
      </c>
      <c r="Y223" s="55" t="s">
        <v>123</v>
      </c>
      <c r="Z223" s="36">
        <f>Z224+Z225</f>
        <v>36748</v>
      </c>
      <c r="AA223" s="55"/>
      <c r="AB223" s="36">
        <f>AB224+AB225</f>
        <v>36748</v>
      </c>
      <c r="AC223" s="55" t="s">
        <v>123</v>
      </c>
      <c r="AD223" s="36">
        <f>AD224+AD225</f>
        <v>36748</v>
      </c>
      <c r="AE223" s="29"/>
    </row>
    <row r="224" spans="1:31" ht="22.5" customHeight="1" x14ac:dyDescent="0.2">
      <c r="A224" s="24"/>
      <c r="B224" s="35"/>
      <c r="C224" s="51" t="s">
        <v>259</v>
      </c>
      <c r="D224" s="52">
        <f>G224+I224+K224+M224+O224+Q224+S224+U224+W224+Y224+AA224+AC224</f>
        <v>12</v>
      </c>
      <c r="E224" s="82" t="s">
        <v>250</v>
      </c>
      <c r="F224" s="42">
        <f t="shared" si="84"/>
        <v>440976</v>
      </c>
      <c r="G224" s="53">
        <v>1</v>
      </c>
      <c r="H224" s="42">
        <v>36748</v>
      </c>
      <c r="I224" s="53">
        <v>1</v>
      </c>
      <c r="J224" s="42">
        <v>36748</v>
      </c>
      <c r="K224" s="53">
        <v>1</v>
      </c>
      <c r="L224" s="42">
        <v>36748</v>
      </c>
      <c r="M224" s="53">
        <v>1</v>
      </c>
      <c r="N224" s="42">
        <v>36748</v>
      </c>
      <c r="O224" s="53">
        <v>1</v>
      </c>
      <c r="P224" s="42">
        <v>36748</v>
      </c>
      <c r="Q224" s="53">
        <v>1</v>
      </c>
      <c r="R224" s="42">
        <v>36748</v>
      </c>
      <c r="S224" s="53">
        <v>1</v>
      </c>
      <c r="T224" s="42">
        <v>36748</v>
      </c>
      <c r="U224" s="53">
        <v>1</v>
      </c>
      <c r="V224" s="42">
        <v>36748</v>
      </c>
      <c r="W224" s="53">
        <v>1</v>
      </c>
      <c r="X224" s="42">
        <v>36748</v>
      </c>
      <c r="Y224" s="53">
        <v>1</v>
      </c>
      <c r="Z224" s="42">
        <v>36748</v>
      </c>
      <c r="AA224" s="53">
        <v>1</v>
      </c>
      <c r="AB224" s="42">
        <v>36748</v>
      </c>
      <c r="AC224" s="53">
        <v>1</v>
      </c>
      <c r="AD224" s="42">
        <v>36748</v>
      </c>
      <c r="AE224" s="29"/>
    </row>
    <row r="225" spans="1:31" ht="19.899999999999999" customHeight="1" x14ac:dyDescent="0.2">
      <c r="A225" s="24"/>
      <c r="B225" s="35"/>
      <c r="C225" s="51" t="s">
        <v>260</v>
      </c>
      <c r="D225" s="52">
        <v>6</v>
      </c>
      <c r="E225" s="41" t="s">
        <v>249</v>
      </c>
      <c r="F225" s="42">
        <f>SUM(H225,J225,L225,N225,P225,R225,T225,V225,X225,Z225,AB225,AD225)</f>
        <v>20000</v>
      </c>
      <c r="G225" s="53">
        <v>0</v>
      </c>
      <c r="H225" s="46">
        <v>0</v>
      </c>
      <c r="I225" s="53">
        <v>0</v>
      </c>
      <c r="J225" s="46">
        <v>0</v>
      </c>
      <c r="K225" s="53">
        <v>0</v>
      </c>
      <c r="L225" s="46">
        <v>0</v>
      </c>
      <c r="M225" s="53">
        <v>5</v>
      </c>
      <c r="N225" s="46">
        <v>12500</v>
      </c>
      <c r="O225" s="53">
        <v>0</v>
      </c>
      <c r="P225" s="46">
        <v>0</v>
      </c>
      <c r="Q225" s="53">
        <v>0</v>
      </c>
      <c r="R225" s="46">
        <v>0</v>
      </c>
      <c r="S225" s="53">
        <v>0</v>
      </c>
      <c r="T225" s="46">
        <v>0</v>
      </c>
      <c r="U225" s="53">
        <v>3</v>
      </c>
      <c r="V225" s="46">
        <v>7500</v>
      </c>
      <c r="W225" s="53">
        <v>0</v>
      </c>
      <c r="X225" s="46">
        <v>0</v>
      </c>
      <c r="Y225" s="53">
        <v>0</v>
      </c>
      <c r="Z225" s="46">
        <v>0</v>
      </c>
      <c r="AA225" s="53">
        <v>0</v>
      </c>
      <c r="AB225" s="46">
        <v>0</v>
      </c>
      <c r="AC225" s="53">
        <v>0</v>
      </c>
      <c r="AD225" s="46">
        <v>0</v>
      </c>
      <c r="AE225" s="29"/>
    </row>
    <row r="226" spans="1:31" ht="19.899999999999999" customHeight="1" x14ac:dyDescent="0.2">
      <c r="A226" s="24"/>
      <c r="B226" s="35">
        <v>325</v>
      </c>
      <c r="C226" s="31" t="s">
        <v>261</v>
      </c>
      <c r="D226" s="84"/>
      <c r="E226" s="30"/>
      <c r="F226" s="36">
        <f>H226+J226+L226+N226+P226+R226+T226+V226+X226+Z226+AB226+AD226</f>
        <v>124272</v>
      </c>
      <c r="G226" s="55"/>
      <c r="H226" s="56">
        <f>H227</f>
        <v>10356</v>
      </c>
      <c r="I226" s="55"/>
      <c r="J226" s="56">
        <f>J227</f>
        <v>10356</v>
      </c>
      <c r="K226" s="55"/>
      <c r="L226" s="56">
        <f>L227</f>
        <v>10356</v>
      </c>
      <c r="M226" s="55"/>
      <c r="N226" s="56">
        <f>N227</f>
        <v>10356</v>
      </c>
      <c r="O226" s="55"/>
      <c r="P226" s="56">
        <f>P227</f>
        <v>10356</v>
      </c>
      <c r="Q226" s="55"/>
      <c r="R226" s="56">
        <f>R227</f>
        <v>10356</v>
      </c>
      <c r="S226" s="55"/>
      <c r="T226" s="56">
        <f>T227</f>
        <v>10356</v>
      </c>
      <c r="U226" s="55"/>
      <c r="V226" s="56">
        <f>V227</f>
        <v>10356</v>
      </c>
      <c r="W226" s="55"/>
      <c r="X226" s="56">
        <f>X227</f>
        <v>10356</v>
      </c>
      <c r="Y226" s="55"/>
      <c r="Z226" s="56">
        <f>Z227</f>
        <v>10356</v>
      </c>
      <c r="AA226" s="55"/>
      <c r="AB226" s="56">
        <f>AB227</f>
        <v>10356</v>
      </c>
      <c r="AC226" s="55"/>
      <c r="AD226" s="56">
        <f>AD227</f>
        <v>10356</v>
      </c>
      <c r="AE226" s="29"/>
    </row>
    <row r="227" spans="1:31" ht="19.899999999999999" customHeight="1" x14ac:dyDescent="0.2">
      <c r="A227" s="24"/>
      <c r="B227" s="35"/>
      <c r="C227" s="51" t="s">
        <v>262</v>
      </c>
      <c r="D227" s="52">
        <f t="shared" ref="D227:D232" si="85">G227+I227+K227+M227+O227+Q227+S227+U227+W227+Y227+AA227+AC227</f>
        <v>12</v>
      </c>
      <c r="E227" s="41" t="s">
        <v>249</v>
      </c>
      <c r="F227" s="42">
        <f>H227+J227+L227+N227+P227+R227+T227+V227+X227+Z227+AB227+AD227</f>
        <v>124272</v>
      </c>
      <c r="G227" s="53">
        <v>1</v>
      </c>
      <c r="H227" s="46">
        <v>10356</v>
      </c>
      <c r="I227" s="53">
        <v>1</v>
      </c>
      <c r="J227" s="46">
        <v>10356</v>
      </c>
      <c r="K227" s="53">
        <v>1</v>
      </c>
      <c r="L227" s="46">
        <v>10356</v>
      </c>
      <c r="M227" s="53">
        <v>1</v>
      </c>
      <c r="N227" s="46">
        <v>10356</v>
      </c>
      <c r="O227" s="53">
        <v>1</v>
      </c>
      <c r="P227" s="46">
        <v>10356</v>
      </c>
      <c r="Q227" s="53">
        <v>1</v>
      </c>
      <c r="R227" s="46">
        <v>10356</v>
      </c>
      <c r="S227" s="53">
        <v>1</v>
      </c>
      <c r="T227" s="46">
        <v>10356</v>
      </c>
      <c r="U227" s="53">
        <v>1</v>
      </c>
      <c r="V227" s="46">
        <v>10356</v>
      </c>
      <c r="W227" s="53">
        <v>1</v>
      </c>
      <c r="X227" s="46">
        <v>10356</v>
      </c>
      <c r="Y227" s="53">
        <v>1</v>
      </c>
      <c r="Z227" s="46">
        <v>10356</v>
      </c>
      <c r="AA227" s="53">
        <v>1</v>
      </c>
      <c r="AB227" s="46">
        <v>10356</v>
      </c>
      <c r="AC227" s="53">
        <v>1</v>
      </c>
      <c r="AD227" s="46">
        <v>10356</v>
      </c>
      <c r="AE227" s="29"/>
    </row>
    <row r="228" spans="1:31" ht="13.5" customHeight="1" x14ac:dyDescent="0.2">
      <c r="A228" s="24"/>
      <c r="B228" s="35">
        <v>327</v>
      </c>
      <c r="C228" s="31" t="s">
        <v>263</v>
      </c>
      <c r="D228" s="52">
        <f t="shared" si="85"/>
        <v>0</v>
      </c>
      <c r="E228" s="41"/>
      <c r="F228" s="36">
        <f>SUM(H228:AD228)</f>
        <v>7188</v>
      </c>
      <c r="G228" s="55"/>
      <c r="H228" s="56">
        <f>H229</f>
        <v>0</v>
      </c>
      <c r="I228" s="55"/>
      <c r="J228" s="56">
        <f>J229</f>
        <v>7188</v>
      </c>
      <c r="K228" s="55"/>
      <c r="L228" s="56">
        <f>L229</f>
        <v>0</v>
      </c>
      <c r="M228" s="55"/>
      <c r="N228" s="56">
        <f>N229</f>
        <v>0</v>
      </c>
      <c r="O228" s="55"/>
      <c r="P228" s="56">
        <f>P229</f>
        <v>0</v>
      </c>
      <c r="Q228" s="55"/>
      <c r="R228" s="56">
        <f>R229</f>
        <v>0</v>
      </c>
      <c r="S228" s="55"/>
      <c r="T228" s="56">
        <f>T229</f>
        <v>0</v>
      </c>
      <c r="U228" s="55"/>
      <c r="V228" s="56">
        <f>V229</f>
        <v>0</v>
      </c>
      <c r="W228" s="55"/>
      <c r="X228" s="56">
        <f>X229</f>
        <v>0</v>
      </c>
      <c r="Y228" s="55"/>
      <c r="Z228" s="56">
        <f>Z229</f>
        <v>0</v>
      </c>
      <c r="AA228" s="55"/>
      <c r="AB228" s="56">
        <f>AB229</f>
        <v>0</v>
      </c>
      <c r="AC228" s="55"/>
      <c r="AD228" s="56">
        <f>AD229</f>
        <v>0</v>
      </c>
      <c r="AE228" s="29"/>
    </row>
    <row r="229" spans="1:31" ht="14.25" customHeight="1" x14ac:dyDescent="0.2">
      <c r="A229" s="24"/>
      <c r="B229" s="35"/>
      <c r="C229" s="51" t="s">
        <v>264</v>
      </c>
      <c r="D229" s="52">
        <f t="shared" si="85"/>
        <v>12</v>
      </c>
      <c r="E229" s="41" t="s">
        <v>63</v>
      </c>
      <c r="F229" s="42">
        <f>H229+J229+L229+N229+P229+R229+T229+V229+Z229+AB229+AD229</f>
        <v>7188</v>
      </c>
      <c r="G229" s="53">
        <v>0</v>
      </c>
      <c r="H229" s="46">
        <v>0</v>
      </c>
      <c r="I229" s="53">
        <v>12</v>
      </c>
      <c r="J229" s="46">
        <v>7188</v>
      </c>
      <c r="K229" s="53">
        <v>0</v>
      </c>
      <c r="L229" s="46">
        <v>0</v>
      </c>
      <c r="M229" s="53">
        <v>0</v>
      </c>
      <c r="N229" s="46">
        <v>0</v>
      </c>
      <c r="O229" s="53">
        <v>0</v>
      </c>
      <c r="P229" s="46">
        <v>0</v>
      </c>
      <c r="Q229" s="53">
        <v>0</v>
      </c>
      <c r="R229" s="46">
        <v>0</v>
      </c>
      <c r="S229" s="53">
        <v>0</v>
      </c>
      <c r="T229" s="46">
        <v>0</v>
      </c>
      <c r="U229" s="53">
        <v>0</v>
      </c>
      <c r="V229" s="46">
        <v>0</v>
      </c>
      <c r="W229" s="53">
        <v>0</v>
      </c>
      <c r="X229" s="46">
        <v>0</v>
      </c>
      <c r="Y229" s="53">
        <v>0</v>
      </c>
      <c r="Z229" s="46">
        <v>0</v>
      </c>
      <c r="AA229" s="53">
        <v>0</v>
      </c>
      <c r="AB229" s="46">
        <v>0</v>
      </c>
      <c r="AC229" s="53">
        <v>0</v>
      </c>
      <c r="AD229" s="46">
        <v>0</v>
      </c>
      <c r="AE229" s="29"/>
    </row>
    <row r="230" spans="1:31" ht="22.5" customHeight="1" x14ac:dyDescent="0.2">
      <c r="A230" s="24"/>
      <c r="B230" s="35">
        <v>336</v>
      </c>
      <c r="C230" s="31" t="s">
        <v>265</v>
      </c>
      <c r="D230" s="52">
        <f t="shared" si="85"/>
        <v>0</v>
      </c>
      <c r="E230" s="41"/>
      <c r="F230" s="36">
        <f>SUM(F231:F232)</f>
        <v>8640</v>
      </c>
      <c r="G230" s="53"/>
      <c r="H230" s="36">
        <f>SUM(H231:H232)</f>
        <v>720</v>
      </c>
      <c r="I230" s="55"/>
      <c r="J230" s="36">
        <f>SUM(J231:J232)</f>
        <v>720</v>
      </c>
      <c r="K230" s="55"/>
      <c r="L230" s="36">
        <f>SUM(L231:L232)</f>
        <v>720</v>
      </c>
      <c r="M230" s="55"/>
      <c r="N230" s="36">
        <f>SUM(N231:N232)</f>
        <v>720</v>
      </c>
      <c r="O230" s="55"/>
      <c r="P230" s="36">
        <f>SUM(P231:P232)</f>
        <v>720</v>
      </c>
      <c r="Q230" s="55"/>
      <c r="R230" s="36">
        <f>SUM(R231:R232)</f>
        <v>720</v>
      </c>
      <c r="S230" s="55"/>
      <c r="T230" s="36">
        <f>SUM(T231:T232)</f>
        <v>720</v>
      </c>
      <c r="U230" s="55"/>
      <c r="V230" s="36">
        <f>SUM(V231:V232)</f>
        <v>720</v>
      </c>
      <c r="W230" s="55"/>
      <c r="X230" s="36">
        <f>SUM(X231:X232)</f>
        <v>720</v>
      </c>
      <c r="Y230" s="55"/>
      <c r="Z230" s="36">
        <f>SUM(Z231:Z232)</f>
        <v>720</v>
      </c>
      <c r="AA230" s="55"/>
      <c r="AB230" s="36">
        <f>SUM(AB231:AB232)</f>
        <v>720</v>
      </c>
      <c r="AC230" s="55"/>
      <c r="AD230" s="36">
        <f>SUM(AD231:AD232)</f>
        <v>720</v>
      </c>
      <c r="AE230" s="29"/>
    </row>
    <row r="231" spans="1:31" ht="12" customHeight="1" x14ac:dyDescent="0.2">
      <c r="A231" s="24"/>
      <c r="B231" s="35"/>
      <c r="C231" s="51" t="s">
        <v>266</v>
      </c>
      <c r="D231" s="52">
        <f t="shared" si="85"/>
        <v>12</v>
      </c>
      <c r="E231" s="41" t="s">
        <v>249</v>
      </c>
      <c r="F231" s="42">
        <f>SUM(H231,J231,L231,N231,P231,R231,T231,V231,X231,Z231,AB231,AD231)</f>
        <v>1440</v>
      </c>
      <c r="G231" s="53">
        <v>1</v>
      </c>
      <c r="H231" s="46">
        <v>120</v>
      </c>
      <c r="I231" s="53">
        <v>1</v>
      </c>
      <c r="J231" s="46">
        <v>120</v>
      </c>
      <c r="K231" s="53">
        <v>1</v>
      </c>
      <c r="L231" s="46">
        <v>120</v>
      </c>
      <c r="M231" s="53">
        <v>1</v>
      </c>
      <c r="N231" s="46">
        <v>120</v>
      </c>
      <c r="O231" s="53">
        <v>1</v>
      </c>
      <c r="P231" s="46">
        <v>120</v>
      </c>
      <c r="Q231" s="53">
        <v>1</v>
      </c>
      <c r="R231" s="46">
        <v>120</v>
      </c>
      <c r="S231" s="46">
        <v>1</v>
      </c>
      <c r="T231" s="46">
        <v>120</v>
      </c>
      <c r="U231" s="53">
        <v>1</v>
      </c>
      <c r="V231" s="46">
        <v>120</v>
      </c>
      <c r="W231" s="53">
        <v>1</v>
      </c>
      <c r="X231" s="46">
        <v>120</v>
      </c>
      <c r="Y231" s="53">
        <v>1</v>
      </c>
      <c r="Z231" s="46">
        <v>120</v>
      </c>
      <c r="AA231" s="53">
        <v>1</v>
      </c>
      <c r="AB231" s="46">
        <v>120</v>
      </c>
      <c r="AC231" s="53">
        <v>1</v>
      </c>
      <c r="AD231" s="46">
        <v>120</v>
      </c>
      <c r="AE231" s="29"/>
    </row>
    <row r="232" spans="1:31" ht="12" customHeight="1" x14ac:dyDescent="0.2">
      <c r="A232" s="24"/>
      <c r="B232" s="35"/>
      <c r="C232" s="51" t="s">
        <v>267</v>
      </c>
      <c r="D232" s="52">
        <f t="shared" si="85"/>
        <v>12</v>
      </c>
      <c r="E232" s="41" t="s">
        <v>249</v>
      </c>
      <c r="F232" s="42">
        <f>SUM(H232,J232,L232,N232,P232,R232,T232,V232,X232,Z232,AB232,AD232)</f>
        <v>7200</v>
      </c>
      <c r="G232" s="53">
        <v>1</v>
      </c>
      <c r="H232" s="46">
        <v>600</v>
      </c>
      <c r="I232" s="53">
        <v>1</v>
      </c>
      <c r="J232" s="46">
        <v>600</v>
      </c>
      <c r="K232" s="53">
        <v>1</v>
      </c>
      <c r="L232" s="46">
        <v>600</v>
      </c>
      <c r="M232" s="53">
        <v>1</v>
      </c>
      <c r="N232" s="46">
        <v>600</v>
      </c>
      <c r="O232" s="53">
        <v>1</v>
      </c>
      <c r="P232" s="46">
        <v>600</v>
      </c>
      <c r="Q232" s="53">
        <v>1</v>
      </c>
      <c r="R232" s="46">
        <v>600</v>
      </c>
      <c r="S232" s="46">
        <v>1</v>
      </c>
      <c r="T232" s="46">
        <v>600</v>
      </c>
      <c r="U232" s="53">
        <v>1</v>
      </c>
      <c r="V232" s="46">
        <v>600</v>
      </c>
      <c r="W232" s="53">
        <v>1</v>
      </c>
      <c r="X232" s="46">
        <v>600</v>
      </c>
      <c r="Y232" s="53">
        <v>1</v>
      </c>
      <c r="Z232" s="46">
        <v>600</v>
      </c>
      <c r="AA232" s="53">
        <v>1</v>
      </c>
      <c r="AB232" s="46">
        <v>600</v>
      </c>
      <c r="AC232" s="53">
        <v>1</v>
      </c>
      <c r="AD232" s="46">
        <v>600</v>
      </c>
      <c r="AE232" s="29"/>
    </row>
    <row r="233" spans="1:31" ht="23.25" customHeight="1" x14ac:dyDescent="0.2">
      <c r="A233" s="24"/>
      <c r="B233" s="30">
        <v>3400</v>
      </c>
      <c r="C233" s="31" t="s">
        <v>268</v>
      </c>
      <c r="D233" s="52"/>
      <c r="E233" s="30"/>
      <c r="F233" s="56">
        <f>SUM(F234,F236,F238)</f>
        <v>169200</v>
      </c>
      <c r="G233" s="55" t="s">
        <v>123</v>
      </c>
      <c r="H233" s="56">
        <f>SUM(H234+H236+H238)</f>
        <v>1300</v>
      </c>
      <c r="I233" s="55" t="s">
        <v>123</v>
      </c>
      <c r="J233" s="56">
        <f>SUM(J234+J236+J238)</f>
        <v>1300</v>
      </c>
      <c r="K233" s="55"/>
      <c r="L233" s="56">
        <f>SUM(L234+L236+L238)</f>
        <v>1300</v>
      </c>
      <c r="M233" s="55"/>
      <c r="N233" s="56">
        <f>SUM(N234+N236+N238)</f>
        <v>154900</v>
      </c>
      <c r="O233" s="55"/>
      <c r="P233" s="56">
        <f>SUM(P234+P236+P238)</f>
        <v>1300</v>
      </c>
      <c r="Q233" s="55"/>
      <c r="R233" s="56">
        <f>SUM(R234+R236+R238)</f>
        <v>1300</v>
      </c>
      <c r="S233" s="55"/>
      <c r="T233" s="56">
        <f>SUM(T234+T236+T238)</f>
        <v>1300</v>
      </c>
      <c r="U233" s="55"/>
      <c r="V233" s="56">
        <f>SUM(V234+V236+V238)</f>
        <v>1300</v>
      </c>
      <c r="W233" s="55"/>
      <c r="X233" s="56">
        <f>SUM(X234+X236+X238)</f>
        <v>1300</v>
      </c>
      <c r="Y233" s="55"/>
      <c r="Z233" s="56">
        <f>SUM(Z234+Z236+Z238)</f>
        <v>1300</v>
      </c>
      <c r="AA233" s="55"/>
      <c r="AB233" s="56">
        <f>SUM(AB234+AB236+AB238)</f>
        <v>1300</v>
      </c>
      <c r="AC233" s="55"/>
      <c r="AD233" s="56">
        <f>SUM(AD234+AD236+AD238)</f>
        <v>1300</v>
      </c>
      <c r="AE233" s="29"/>
    </row>
    <row r="234" spans="1:31" ht="12.75" customHeight="1" x14ac:dyDescent="0.2">
      <c r="A234" s="24"/>
      <c r="B234" s="35">
        <v>341</v>
      </c>
      <c r="C234" s="31" t="s">
        <v>269</v>
      </c>
      <c r="D234" s="52"/>
      <c r="E234" s="30"/>
      <c r="F234" s="36">
        <f>F235</f>
        <v>1200</v>
      </c>
      <c r="G234" s="55" t="s">
        <v>123</v>
      </c>
      <c r="H234" s="56">
        <f>H235</f>
        <v>100</v>
      </c>
      <c r="I234" s="55" t="s">
        <v>123</v>
      </c>
      <c r="J234" s="56">
        <f>J235</f>
        <v>100</v>
      </c>
      <c r="K234" s="55"/>
      <c r="L234" s="56">
        <f>L235</f>
        <v>100</v>
      </c>
      <c r="M234" s="55"/>
      <c r="N234" s="56">
        <f>N235</f>
        <v>100</v>
      </c>
      <c r="O234" s="55"/>
      <c r="P234" s="56">
        <f>P235</f>
        <v>100</v>
      </c>
      <c r="Q234" s="55"/>
      <c r="R234" s="56">
        <f>R235</f>
        <v>100</v>
      </c>
      <c r="S234" s="55"/>
      <c r="T234" s="56">
        <f>T235</f>
        <v>100</v>
      </c>
      <c r="U234" s="55"/>
      <c r="V234" s="56">
        <f>V235</f>
        <v>100</v>
      </c>
      <c r="W234" s="55"/>
      <c r="X234" s="56">
        <f>X235</f>
        <v>100</v>
      </c>
      <c r="Y234" s="55"/>
      <c r="Z234" s="56">
        <f>Z235</f>
        <v>100</v>
      </c>
      <c r="AA234" s="55"/>
      <c r="AB234" s="56">
        <f>AB235</f>
        <v>100</v>
      </c>
      <c r="AC234" s="55"/>
      <c r="AD234" s="56">
        <f>AD235</f>
        <v>100</v>
      </c>
      <c r="AE234" s="29"/>
    </row>
    <row r="235" spans="1:31" ht="14.25" customHeight="1" x14ac:dyDescent="0.2">
      <c r="A235" s="24"/>
      <c r="B235" s="35"/>
      <c r="C235" s="51" t="s">
        <v>270</v>
      </c>
      <c r="D235" s="52">
        <f>G235+I235+K235+M235+O235+Q235+S235+U235+W235+Y235+AA235+AC235</f>
        <v>12</v>
      </c>
      <c r="E235" s="41" t="s">
        <v>249</v>
      </c>
      <c r="F235" s="42">
        <f>SUM(H235,J235,L235,N235,P235,R235,T235,V235,X235,Z235,AB235,AD235)</f>
        <v>1200</v>
      </c>
      <c r="G235" s="53">
        <v>1</v>
      </c>
      <c r="H235" s="46">
        <v>100</v>
      </c>
      <c r="I235" s="53">
        <v>1</v>
      </c>
      <c r="J235" s="46">
        <v>100</v>
      </c>
      <c r="K235" s="53">
        <v>1</v>
      </c>
      <c r="L235" s="46">
        <v>100</v>
      </c>
      <c r="M235" s="53">
        <v>1</v>
      </c>
      <c r="N235" s="46">
        <v>100</v>
      </c>
      <c r="O235" s="53">
        <v>1</v>
      </c>
      <c r="P235" s="46">
        <v>100</v>
      </c>
      <c r="Q235" s="53">
        <v>1</v>
      </c>
      <c r="R235" s="46">
        <v>100</v>
      </c>
      <c r="S235" s="53">
        <v>1</v>
      </c>
      <c r="T235" s="46">
        <v>100</v>
      </c>
      <c r="U235" s="53">
        <v>1</v>
      </c>
      <c r="V235" s="46">
        <v>100</v>
      </c>
      <c r="W235" s="53">
        <v>1</v>
      </c>
      <c r="X235" s="46">
        <v>100</v>
      </c>
      <c r="Y235" s="53">
        <v>1</v>
      </c>
      <c r="Z235" s="46">
        <v>100</v>
      </c>
      <c r="AA235" s="53">
        <v>1</v>
      </c>
      <c r="AB235" s="46">
        <v>100</v>
      </c>
      <c r="AC235" s="53">
        <v>1</v>
      </c>
      <c r="AD235" s="46">
        <v>100</v>
      </c>
      <c r="AE235" s="29"/>
    </row>
    <row r="236" spans="1:31" ht="13.5" customHeight="1" x14ac:dyDescent="0.2">
      <c r="A236" s="24"/>
      <c r="B236" s="35">
        <v>345</v>
      </c>
      <c r="C236" s="31" t="s">
        <v>271</v>
      </c>
      <c r="D236" s="52"/>
      <c r="E236" s="30"/>
      <c r="F236" s="36">
        <f>F237</f>
        <v>153600</v>
      </c>
      <c r="G236" s="55" t="s">
        <v>123</v>
      </c>
      <c r="H236" s="56">
        <f>H237</f>
        <v>0</v>
      </c>
      <c r="I236" s="55" t="s">
        <v>123</v>
      </c>
      <c r="J236" s="56">
        <f>J237</f>
        <v>0</v>
      </c>
      <c r="K236" s="55" t="s">
        <v>123</v>
      </c>
      <c r="L236" s="56">
        <f>L237</f>
        <v>0</v>
      </c>
      <c r="M236" s="55" t="s">
        <v>123</v>
      </c>
      <c r="N236" s="56">
        <f>N237</f>
        <v>153600</v>
      </c>
      <c r="O236" s="55" t="s">
        <v>123</v>
      </c>
      <c r="P236" s="56">
        <f>P237</f>
        <v>0</v>
      </c>
      <c r="Q236" s="55" t="s">
        <v>123</v>
      </c>
      <c r="R236" s="56">
        <f>R237</f>
        <v>0</v>
      </c>
      <c r="S236" s="55" t="s">
        <v>123</v>
      </c>
      <c r="T236" s="56">
        <f>T237</f>
        <v>0</v>
      </c>
      <c r="U236" s="55" t="s">
        <v>123</v>
      </c>
      <c r="V236" s="56">
        <f>V237</f>
        <v>0</v>
      </c>
      <c r="W236" s="55" t="s">
        <v>123</v>
      </c>
      <c r="X236" s="56">
        <f>X237</f>
        <v>0</v>
      </c>
      <c r="Y236" s="55" t="s">
        <v>123</v>
      </c>
      <c r="Z236" s="56">
        <f>Z237</f>
        <v>0</v>
      </c>
      <c r="AA236" s="55" t="s">
        <v>123</v>
      </c>
      <c r="AB236" s="56">
        <f>AB237</f>
        <v>0</v>
      </c>
      <c r="AC236" s="55" t="s">
        <v>123</v>
      </c>
      <c r="AD236" s="56">
        <f>AD237</f>
        <v>0</v>
      </c>
      <c r="AE236" s="29"/>
    </row>
    <row r="237" spans="1:31" ht="24.75" customHeight="1" x14ac:dyDescent="0.2">
      <c r="A237" s="24"/>
      <c r="B237" s="35"/>
      <c r="C237" s="51" t="s">
        <v>272</v>
      </c>
      <c r="D237" s="52">
        <f>G237+I237+K237+M237+O237+Q237+S237+U237+W237+Y237+AA237+AC237</f>
        <v>31</v>
      </c>
      <c r="E237" s="41" t="s">
        <v>249</v>
      </c>
      <c r="F237" s="42">
        <f>SUM(H237,J237,L237,N237,P237,R237,T237,V237,X237,Z237,AB237,AD237)</f>
        <v>153600</v>
      </c>
      <c r="G237" s="53">
        <v>0</v>
      </c>
      <c r="H237" s="46">
        <v>0</v>
      </c>
      <c r="I237" s="53">
        <v>0</v>
      </c>
      <c r="J237" s="46">
        <v>0</v>
      </c>
      <c r="K237" s="53">
        <v>0</v>
      </c>
      <c r="L237" s="46">
        <v>0</v>
      </c>
      <c r="M237" s="53">
        <v>31</v>
      </c>
      <c r="N237" s="46">
        <v>153600</v>
      </c>
      <c r="O237" s="53">
        <v>0</v>
      </c>
      <c r="P237" s="46">
        <v>0</v>
      </c>
      <c r="Q237" s="53">
        <v>0</v>
      </c>
      <c r="R237" s="46">
        <v>0</v>
      </c>
      <c r="S237" s="53">
        <v>0</v>
      </c>
      <c r="T237" s="46">
        <v>0</v>
      </c>
      <c r="U237" s="53">
        <v>0</v>
      </c>
      <c r="V237" s="46">
        <v>0</v>
      </c>
      <c r="W237" s="53">
        <v>0</v>
      </c>
      <c r="X237" s="46">
        <v>0</v>
      </c>
      <c r="Y237" s="53">
        <v>0</v>
      </c>
      <c r="Z237" s="46">
        <v>0</v>
      </c>
      <c r="AA237" s="53">
        <v>0</v>
      </c>
      <c r="AB237" s="46">
        <v>0</v>
      </c>
      <c r="AC237" s="53">
        <v>0</v>
      </c>
      <c r="AD237" s="46">
        <v>0</v>
      </c>
      <c r="AE237" s="29"/>
    </row>
    <row r="238" spans="1:31" ht="15" customHeight="1" x14ac:dyDescent="0.2">
      <c r="A238" s="24"/>
      <c r="B238" s="35">
        <v>347</v>
      </c>
      <c r="C238" s="31" t="s">
        <v>273</v>
      </c>
      <c r="D238" s="52"/>
      <c r="E238" s="30"/>
      <c r="F238" s="36">
        <f>SUM(F239:F239)</f>
        <v>14400</v>
      </c>
      <c r="G238" s="55" t="s">
        <v>123</v>
      </c>
      <c r="H238" s="36">
        <f>SUM(H239:H239)</f>
        <v>1200</v>
      </c>
      <c r="I238" s="55" t="s">
        <v>123</v>
      </c>
      <c r="J238" s="36">
        <f>SUM(J239:J239)</f>
        <v>1200</v>
      </c>
      <c r="K238" s="55" t="s">
        <v>123</v>
      </c>
      <c r="L238" s="36">
        <f>SUM(L239:L239)</f>
        <v>1200</v>
      </c>
      <c r="M238" s="55" t="s">
        <v>123</v>
      </c>
      <c r="N238" s="36">
        <f>SUM(N239:N239)</f>
        <v>1200</v>
      </c>
      <c r="O238" s="55" t="s">
        <v>123</v>
      </c>
      <c r="P238" s="36">
        <f>SUM(P239:P239)</f>
        <v>1200</v>
      </c>
      <c r="Q238" s="55" t="s">
        <v>123</v>
      </c>
      <c r="R238" s="36">
        <f>SUM(R239:R239)</f>
        <v>1200</v>
      </c>
      <c r="S238" s="55" t="s">
        <v>123</v>
      </c>
      <c r="T238" s="36">
        <f>SUM(T239:T239)</f>
        <v>1200</v>
      </c>
      <c r="U238" s="55"/>
      <c r="V238" s="36">
        <f>SUM(V239:V239)</f>
        <v>1200</v>
      </c>
      <c r="W238" s="55" t="s">
        <v>123</v>
      </c>
      <c r="X238" s="36">
        <f>SUM(X239:X239)</f>
        <v>1200</v>
      </c>
      <c r="Y238" s="36"/>
      <c r="Z238" s="36">
        <f>SUM(Z239:Z239)</f>
        <v>1200</v>
      </c>
      <c r="AA238" s="55" t="s">
        <v>123</v>
      </c>
      <c r="AB238" s="36">
        <f>SUM(AB239:AB239)</f>
        <v>1200</v>
      </c>
      <c r="AC238" s="55" t="s">
        <v>123</v>
      </c>
      <c r="AD238" s="36">
        <f>SUM(AD239:AD239)</f>
        <v>1200</v>
      </c>
      <c r="AE238" s="29"/>
    </row>
    <row r="239" spans="1:31" ht="12.75" customHeight="1" x14ac:dyDescent="0.2">
      <c r="A239" s="24"/>
      <c r="B239" s="35"/>
      <c r="C239" s="51" t="s">
        <v>274</v>
      </c>
      <c r="D239" s="52">
        <f>G239+I239+K239+M239+O239+Q239+S239+U239+W239+Y239+AA239+AC239</f>
        <v>24</v>
      </c>
      <c r="E239" s="41" t="s">
        <v>275</v>
      </c>
      <c r="F239" s="42">
        <f>SUM(H239,J239,L239,N239,P239,R239,T239,V239,X239,Z239,AB239,AD239)</f>
        <v>14400</v>
      </c>
      <c r="G239" s="53">
        <v>2</v>
      </c>
      <c r="H239" s="46">
        <v>1200</v>
      </c>
      <c r="I239" s="53">
        <v>2</v>
      </c>
      <c r="J239" s="46">
        <v>1200</v>
      </c>
      <c r="K239" s="53">
        <v>2</v>
      </c>
      <c r="L239" s="46">
        <v>1200</v>
      </c>
      <c r="M239" s="53">
        <v>2</v>
      </c>
      <c r="N239" s="46">
        <v>1200</v>
      </c>
      <c r="O239" s="53">
        <v>2</v>
      </c>
      <c r="P239" s="46">
        <v>1200</v>
      </c>
      <c r="Q239" s="53">
        <v>2</v>
      </c>
      <c r="R239" s="46">
        <v>1200</v>
      </c>
      <c r="S239" s="53">
        <v>2</v>
      </c>
      <c r="T239" s="46">
        <v>1200</v>
      </c>
      <c r="U239" s="53">
        <v>2</v>
      </c>
      <c r="V239" s="46">
        <v>1200</v>
      </c>
      <c r="W239" s="53">
        <v>2</v>
      </c>
      <c r="X239" s="46">
        <v>1200</v>
      </c>
      <c r="Y239" s="53">
        <v>2</v>
      </c>
      <c r="Z239" s="46">
        <v>1200</v>
      </c>
      <c r="AA239" s="53">
        <v>2</v>
      </c>
      <c r="AB239" s="46">
        <v>1200</v>
      </c>
      <c r="AC239" s="53">
        <v>2</v>
      </c>
      <c r="AD239" s="46">
        <v>1200</v>
      </c>
      <c r="AE239" s="29"/>
    </row>
    <row r="240" spans="1:31" ht="25.5" customHeight="1" x14ac:dyDescent="0.2">
      <c r="A240" s="24"/>
      <c r="B240" s="30">
        <v>3500</v>
      </c>
      <c r="C240" s="31" t="s">
        <v>276</v>
      </c>
      <c r="D240" s="52"/>
      <c r="E240" s="30"/>
      <c r="F240" s="56">
        <f>SUM(F241+F243+F245+F247+F251+F253)</f>
        <v>300039.2</v>
      </c>
      <c r="G240" s="55" t="s">
        <v>123</v>
      </c>
      <c r="H240" s="56">
        <f>SUM(H241+H243+H245+H247+H251+H253)</f>
        <v>0</v>
      </c>
      <c r="I240" s="55" t="s">
        <v>123</v>
      </c>
      <c r="J240" s="56">
        <f>SUM(J241+J243+J245+J247+J251+J253)</f>
        <v>57150</v>
      </c>
      <c r="K240" s="55"/>
      <c r="L240" s="56">
        <f>SUM(L241+L243+L245+L247+L251+L253)</f>
        <v>107639.20000000001</v>
      </c>
      <c r="M240" s="55"/>
      <c r="N240" s="56">
        <f>SUM(N241+N243+N245+N247+N251+N253)</f>
        <v>19500</v>
      </c>
      <c r="O240" s="55"/>
      <c r="P240" s="56">
        <f>SUM(P241+P243+P245+P247+P251+P253)</f>
        <v>39500</v>
      </c>
      <c r="Q240" s="55"/>
      <c r="R240" s="56">
        <f>SUM(R241+R243+R245+R247+R251+R253)</f>
        <v>0</v>
      </c>
      <c r="S240" s="55"/>
      <c r="T240" s="56">
        <f>SUM(T241+T243+T245+T247+T251+T253)</f>
        <v>5750</v>
      </c>
      <c r="U240" s="55"/>
      <c r="V240" s="56">
        <f>SUM(V241+V243+V245+V247+V251+V253)</f>
        <v>14500</v>
      </c>
      <c r="W240" s="55"/>
      <c r="X240" s="56">
        <f>SUM(X241+X243+X245+X247+X251+X253)</f>
        <v>17000</v>
      </c>
      <c r="Y240" s="55"/>
      <c r="Z240" s="56">
        <f>SUM(Z241+Z243+Z245+Z247+Z251+Z253)</f>
        <v>19500</v>
      </c>
      <c r="AA240" s="55"/>
      <c r="AB240" s="56">
        <f>SUM(AB241+AB243+AB245+AB247+AB251+AB253)</f>
        <v>19500</v>
      </c>
      <c r="AC240" s="55"/>
      <c r="AD240" s="56">
        <f>SUM(AD241+AD243+AD245+AD247+AD251+AD253)</f>
        <v>0</v>
      </c>
      <c r="AE240" s="29"/>
    </row>
    <row r="241" spans="1:31" ht="24.75" customHeight="1" x14ac:dyDescent="0.2">
      <c r="A241" s="24"/>
      <c r="B241" s="35">
        <v>351</v>
      </c>
      <c r="C241" s="31" t="s">
        <v>277</v>
      </c>
      <c r="D241" s="52"/>
      <c r="E241" s="30"/>
      <c r="F241" s="36">
        <f>F242</f>
        <v>30000</v>
      </c>
      <c r="G241" s="55" t="s">
        <v>123</v>
      </c>
      <c r="H241" s="56">
        <f>H242</f>
        <v>0</v>
      </c>
      <c r="I241" s="55" t="s">
        <v>123</v>
      </c>
      <c r="J241" s="56">
        <f>J242</f>
        <v>5000</v>
      </c>
      <c r="K241" s="55"/>
      <c r="L241" s="56">
        <f>L242</f>
        <v>0</v>
      </c>
      <c r="M241" s="55"/>
      <c r="N241" s="56">
        <f>N242</f>
        <v>5000</v>
      </c>
      <c r="O241" s="55"/>
      <c r="P241" s="56">
        <f>P242</f>
        <v>2500</v>
      </c>
      <c r="Q241" s="55"/>
      <c r="R241" s="56">
        <f>R242</f>
        <v>0</v>
      </c>
      <c r="S241" s="55"/>
      <c r="T241" s="56">
        <f>T242</f>
        <v>5000</v>
      </c>
      <c r="U241" s="55"/>
      <c r="V241" s="56">
        <f>V242</f>
        <v>0</v>
      </c>
      <c r="W241" s="55"/>
      <c r="X241" s="56">
        <f>X242</f>
        <v>2500</v>
      </c>
      <c r="Y241" s="55"/>
      <c r="Z241" s="56">
        <f>Z242</f>
        <v>5000</v>
      </c>
      <c r="AA241" s="55"/>
      <c r="AB241" s="56">
        <f>AB242</f>
        <v>5000</v>
      </c>
      <c r="AC241" s="55"/>
      <c r="AD241" s="56">
        <f>AD242</f>
        <v>0</v>
      </c>
      <c r="AE241" s="29"/>
    </row>
    <row r="242" spans="1:31" ht="23.25" customHeight="1" x14ac:dyDescent="0.2">
      <c r="A242" s="24"/>
      <c r="B242" s="35"/>
      <c r="C242" s="51" t="s">
        <v>278</v>
      </c>
      <c r="D242" s="52">
        <f>G242+I242+K242+M242+O242+Q242+S242+U242+W242+Y242+AA242+AC242</f>
        <v>12</v>
      </c>
      <c r="E242" s="41" t="s">
        <v>249</v>
      </c>
      <c r="F242" s="42">
        <f>SUM(H242,J242,L242,N242,P242,R242,T242,V242,X242,Z242,AB242,AD242)</f>
        <v>30000</v>
      </c>
      <c r="G242" s="53">
        <v>0</v>
      </c>
      <c r="H242" s="46">
        <v>0</v>
      </c>
      <c r="I242" s="53">
        <v>2</v>
      </c>
      <c r="J242" s="46">
        <v>5000</v>
      </c>
      <c r="K242" s="53">
        <v>0</v>
      </c>
      <c r="L242" s="46">
        <v>0</v>
      </c>
      <c r="M242" s="53">
        <v>2</v>
      </c>
      <c r="N242" s="46">
        <v>5000</v>
      </c>
      <c r="O242" s="53">
        <v>1</v>
      </c>
      <c r="P242" s="46">
        <v>2500</v>
      </c>
      <c r="Q242" s="53">
        <v>0</v>
      </c>
      <c r="R242" s="46">
        <v>0</v>
      </c>
      <c r="S242" s="53">
        <v>2</v>
      </c>
      <c r="T242" s="46">
        <v>5000</v>
      </c>
      <c r="U242" s="53">
        <v>0</v>
      </c>
      <c r="V242" s="46">
        <v>0</v>
      </c>
      <c r="W242" s="53">
        <v>1</v>
      </c>
      <c r="X242" s="46">
        <v>2500</v>
      </c>
      <c r="Y242" s="53">
        <v>2</v>
      </c>
      <c r="Z242" s="46">
        <v>5000</v>
      </c>
      <c r="AA242" s="53">
        <v>2</v>
      </c>
      <c r="AB242" s="46">
        <v>5000</v>
      </c>
      <c r="AC242" s="53">
        <v>0</v>
      </c>
      <c r="AD242" s="46">
        <v>0</v>
      </c>
      <c r="AE242" s="29"/>
    </row>
    <row r="243" spans="1:31" ht="35.25" customHeight="1" x14ac:dyDescent="0.2">
      <c r="A243" s="24"/>
      <c r="B243" s="35">
        <v>352</v>
      </c>
      <c r="C243" s="31" t="s">
        <v>279</v>
      </c>
      <c r="D243" s="52"/>
      <c r="E243" s="30"/>
      <c r="F243" s="36">
        <f>SUM(F244:F244)</f>
        <v>116000</v>
      </c>
      <c r="G243" s="55" t="s">
        <v>123</v>
      </c>
      <c r="H243" s="36">
        <f>SUM(H244:H244)</f>
        <v>0</v>
      </c>
      <c r="I243" s="55" t="s">
        <v>123</v>
      </c>
      <c r="J243" s="36">
        <f>SUM(J244:J244)</f>
        <v>14500</v>
      </c>
      <c r="K243" s="55" t="s">
        <v>123</v>
      </c>
      <c r="L243" s="36">
        <f>SUM(L244:L244)</f>
        <v>14500</v>
      </c>
      <c r="M243" s="55" t="s">
        <v>123</v>
      </c>
      <c r="N243" s="36">
        <f>SUM(N244:N244)</f>
        <v>14500</v>
      </c>
      <c r="O243" s="55" t="s">
        <v>123</v>
      </c>
      <c r="P243" s="36">
        <f>SUM(P244:P244)</f>
        <v>14500</v>
      </c>
      <c r="Q243" s="55" t="s">
        <v>123</v>
      </c>
      <c r="R243" s="36">
        <f>SUM(R244:R244)</f>
        <v>0</v>
      </c>
      <c r="S243" s="55" t="s">
        <v>123</v>
      </c>
      <c r="T243" s="36">
        <f>SUM(T244:T244)</f>
        <v>0</v>
      </c>
      <c r="U243" s="55" t="s">
        <v>123</v>
      </c>
      <c r="V243" s="36">
        <f>SUM(V244:V244)</f>
        <v>14500</v>
      </c>
      <c r="W243" s="55" t="s">
        <v>123</v>
      </c>
      <c r="X243" s="36">
        <f>SUM(X244:X244)</f>
        <v>14500</v>
      </c>
      <c r="Y243" s="55" t="s">
        <v>123</v>
      </c>
      <c r="Z243" s="36">
        <f>SUM(Z244:Z244)</f>
        <v>14500</v>
      </c>
      <c r="AA243" s="55" t="s">
        <v>123</v>
      </c>
      <c r="AB243" s="36">
        <f>SUM(AB244:AB244)</f>
        <v>14500</v>
      </c>
      <c r="AC243" s="55" t="s">
        <v>123</v>
      </c>
      <c r="AD243" s="36">
        <f>SUM(AD244:AD244)</f>
        <v>0</v>
      </c>
      <c r="AE243" s="29"/>
    </row>
    <row r="244" spans="1:31" ht="22.5" customHeight="1" x14ac:dyDescent="0.2">
      <c r="A244" s="24"/>
      <c r="B244" s="35"/>
      <c r="C244" s="51" t="s">
        <v>280</v>
      </c>
      <c r="D244" s="52">
        <f>G244+I244+K244+M244+O244+Q244+S244+U244+W244+Y244+AA244+AC244</f>
        <v>40</v>
      </c>
      <c r="E244" s="41" t="s">
        <v>249</v>
      </c>
      <c r="F244" s="42">
        <f>SUM(H244,J244,L244,N244,P244,R244,T244,V244,X244,Z244,AB244,AD244)</f>
        <v>116000</v>
      </c>
      <c r="G244" s="53">
        <v>0</v>
      </c>
      <c r="H244" s="46">
        <v>0</v>
      </c>
      <c r="I244" s="53">
        <v>5</v>
      </c>
      <c r="J244" s="46">
        <f>I244*2900</f>
        <v>14500</v>
      </c>
      <c r="K244" s="53">
        <v>5</v>
      </c>
      <c r="L244" s="46">
        <f>K244*2900</f>
        <v>14500</v>
      </c>
      <c r="M244" s="53">
        <v>5</v>
      </c>
      <c r="N244" s="46">
        <f>M244*2900</f>
        <v>14500</v>
      </c>
      <c r="O244" s="53">
        <v>5</v>
      </c>
      <c r="P244" s="46">
        <f>O244*2900</f>
        <v>14500</v>
      </c>
      <c r="Q244" s="53">
        <v>0</v>
      </c>
      <c r="R244" s="46">
        <v>0</v>
      </c>
      <c r="S244" s="53">
        <v>0</v>
      </c>
      <c r="T244" s="46">
        <v>0</v>
      </c>
      <c r="U244" s="53">
        <v>5</v>
      </c>
      <c r="V244" s="46">
        <f>U244*2900</f>
        <v>14500</v>
      </c>
      <c r="W244" s="53">
        <v>5</v>
      </c>
      <c r="X244" s="46">
        <f>W244*2900</f>
        <v>14500</v>
      </c>
      <c r="Y244" s="53">
        <v>5</v>
      </c>
      <c r="Z244" s="46">
        <f>Y244*2900</f>
        <v>14500</v>
      </c>
      <c r="AA244" s="53">
        <v>5</v>
      </c>
      <c r="AB244" s="46">
        <f>AA244*2900</f>
        <v>14500</v>
      </c>
      <c r="AC244" s="53">
        <v>0</v>
      </c>
      <c r="AD244" s="46">
        <v>0</v>
      </c>
      <c r="AE244" s="29"/>
    </row>
    <row r="245" spans="1:31" ht="39" customHeight="1" x14ac:dyDescent="0.2">
      <c r="A245" s="24"/>
      <c r="B245" s="35">
        <v>353</v>
      </c>
      <c r="C245" s="31" t="s">
        <v>281</v>
      </c>
      <c r="D245" s="52"/>
      <c r="E245" s="30"/>
      <c r="F245" s="36">
        <f>F246</f>
        <v>20000</v>
      </c>
      <c r="G245" s="55" t="s">
        <v>123</v>
      </c>
      <c r="H245" s="56">
        <f>H246</f>
        <v>0</v>
      </c>
      <c r="I245" s="55" t="s">
        <v>123</v>
      </c>
      <c r="J245" s="56">
        <f>J246</f>
        <v>10000</v>
      </c>
      <c r="K245" s="55" t="s">
        <v>123</v>
      </c>
      <c r="L245" s="56">
        <f>L246</f>
        <v>0</v>
      </c>
      <c r="M245" s="55" t="s">
        <v>123</v>
      </c>
      <c r="N245" s="56">
        <f>N246</f>
        <v>0</v>
      </c>
      <c r="O245" s="55" t="s">
        <v>123</v>
      </c>
      <c r="P245" s="56">
        <f>P246</f>
        <v>10000</v>
      </c>
      <c r="Q245" s="55" t="s">
        <v>123</v>
      </c>
      <c r="R245" s="56">
        <f>R246</f>
        <v>0</v>
      </c>
      <c r="S245" s="55" t="s">
        <v>123</v>
      </c>
      <c r="T245" s="56">
        <f>T246</f>
        <v>0</v>
      </c>
      <c r="U245" s="55" t="s">
        <v>123</v>
      </c>
      <c r="V245" s="56">
        <f>V246</f>
        <v>0</v>
      </c>
      <c r="W245" s="55" t="s">
        <v>123</v>
      </c>
      <c r="X245" s="56">
        <f>X246</f>
        <v>0</v>
      </c>
      <c r="Y245" s="55" t="s">
        <v>123</v>
      </c>
      <c r="Z245" s="56">
        <f>Z246</f>
        <v>0</v>
      </c>
      <c r="AA245" s="55" t="s">
        <v>123</v>
      </c>
      <c r="AB245" s="56">
        <f>AB246</f>
        <v>0</v>
      </c>
      <c r="AC245" s="55" t="s">
        <v>123</v>
      </c>
      <c r="AD245" s="56">
        <f>AD246</f>
        <v>0</v>
      </c>
      <c r="AE245" s="29"/>
    </row>
    <row r="246" spans="1:31" ht="45.75" customHeight="1" x14ac:dyDescent="0.2">
      <c r="A246" s="24"/>
      <c r="B246" s="35"/>
      <c r="C246" s="51" t="s">
        <v>282</v>
      </c>
      <c r="D246" s="52">
        <f>G246+I246+K246+M246+O246+Q246+S246+U246+W246+Y246+AA246+AC246</f>
        <v>10</v>
      </c>
      <c r="E246" s="41" t="s">
        <v>249</v>
      </c>
      <c r="F246" s="42">
        <f>SUM(H246,J246,L246,N246,P246,R246,T246,V246,X246,Z246,AB246,AD246)</f>
        <v>20000</v>
      </c>
      <c r="G246" s="53">
        <v>0</v>
      </c>
      <c r="H246" s="46">
        <v>0</v>
      </c>
      <c r="I246" s="53">
        <v>5</v>
      </c>
      <c r="J246" s="46">
        <v>10000</v>
      </c>
      <c r="K246" s="53">
        <v>0</v>
      </c>
      <c r="L246" s="46">
        <v>0</v>
      </c>
      <c r="M246" s="53">
        <v>0</v>
      </c>
      <c r="N246" s="46">
        <v>0</v>
      </c>
      <c r="O246" s="53">
        <v>5</v>
      </c>
      <c r="P246" s="46">
        <v>10000</v>
      </c>
      <c r="Q246" s="53">
        <v>0</v>
      </c>
      <c r="R246" s="46">
        <v>0</v>
      </c>
      <c r="S246" s="53">
        <v>0</v>
      </c>
      <c r="T246" s="46">
        <v>0</v>
      </c>
      <c r="U246" s="53">
        <v>0</v>
      </c>
      <c r="V246" s="46">
        <v>0</v>
      </c>
      <c r="W246" s="53">
        <v>0</v>
      </c>
      <c r="X246" s="46">
        <v>0</v>
      </c>
      <c r="Y246" s="53">
        <v>0</v>
      </c>
      <c r="Z246" s="46">
        <v>0</v>
      </c>
      <c r="AA246" s="53">
        <v>0</v>
      </c>
      <c r="AB246" s="46">
        <v>0</v>
      </c>
      <c r="AC246" s="53">
        <v>0</v>
      </c>
      <c r="AD246" s="46">
        <v>0</v>
      </c>
      <c r="AE246" s="29"/>
    </row>
    <row r="247" spans="1:31" ht="24.75" customHeight="1" x14ac:dyDescent="0.2">
      <c r="A247" s="24"/>
      <c r="B247" s="35">
        <v>355</v>
      </c>
      <c r="C247" s="31" t="s">
        <v>283</v>
      </c>
      <c r="D247" s="52"/>
      <c r="E247" s="30"/>
      <c r="F247" s="36">
        <f>SUM(F248:F250)</f>
        <v>107539.20000000001</v>
      </c>
      <c r="G247" s="55" t="s">
        <v>123</v>
      </c>
      <c r="H247" s="36">
        <f>SUM(H248:H250)</f>
        <v>0</v>
      </c>
      <c r="I247" s="55" t="s">
        <v>123</v>
      </c>
      <c r="J247" s="36">
        <f>SUM(J248:J250)</f>
        <v>14400</v>
      </c>
      <c r="K247" s="55" t="s">
        <v>123</v>
      </c>
      <c r="L247" s="36">
        <f>SUM(L248:L250)</f>
        <v>93139.200000000012</v>
      </c>
      <c r="M247" s="55" t="s">
        <v>123</v>
      </c>
      <c r="N247" s="36">
        <f>SUM(N248:N250)</f>
        <v>0</v>
      </c>
      <c r="O247" s="55" t="s">
        <v>123</v>
      </c>
      <c r="P247" s="36">
        <f>SUM(P248:P250)</f>
        <v>0</v>
      </c>
      <c r="Q247" s="55" t="s">
        <v>123</v>
      </c>
      <c r="R247" s="36">
        <f>SUM(R248:R250)</f>
        <v>0</v>
      </c>
      <c r="S247" s="55" t="s">
        <v>123</v>
      </c>
      <c r="T247" s="36">
        <f>SUM(T248:T250)</f>
        <v>0</v>
      </c>
      <c r="U247" s="55" t="s">
        <v>123</v>
      </c>
      <c r="V247" s="36">
        <f>SUM(V248:V250)</f>
        <v>0</v>
      </c>
      <c r="W247" s="55"/>
      <c r="X247" s="36">
        <f>SUM(X248:X250)</f>
        <v>0</v>
      </c>
      <c r="Y247" s="55" t="s">
        <v>123</v>
      </c>
      <c r="Z247" s="36">
        <f>SUM(Z248:Z250)</f>
        <v>0</v>
      </c>
      <c r="AA247" s="55" t="s">
        <v>123</v>
      </c>
      <c r="AB247" s="36">
        <f>SUM(AB248:AB250)</f>
        <v>0</v>
      </c>
      <c r="AC247" s="55" t="s">
        <v>123</v>
      </c>
      <c r="AD247" s="36">
        <f>SUM(AD248:AD250)</f>
        <v>0</v>
      </c>
      <c r="AE247" s="29"/>
    </row>
    <row r="248" spans="1:31" ht="14.25" customHeight="1" x14ac:dyDescent="0.2">
      <c r="A248" s="24"/>
      <c r="B248" s="35"/>
      <c r="C248" s="51" t="s">
        <v>284</v>
      </c>
      <c r="D248" s="52">
        <f>G248+I248+K248+M248+O248+Q248+S248+U248+W248+Y248+AA248+AC248</f>
        <v>24</v>
      </c>
      <c r="E248" s="41" t="s">
        <v>249</v>
      </c>
      <c r="F248" s="42">
        <f>SUM(H248,J248,L248,N248,P248,R248,T248,V248,X248,Z248,AB248,AD248)</f>
        <v>16329.6</v>
      </c>
      <c r="G248" s="80">
        <v>0</v>
      </c>
      <c r="H248" s="46">
        <v>0</v>
      </c>
      <c r="I248" s="80">
        <v>0</v>
      </c>
      <c r="J248" s="46">
        <f>(I248*AF248)*1.2</f>
        <v>0</v>
      </c>
      <c r="K248" s="80">
        <v>24</v>
      </c>
      <c r="L248" s="46">
        <v>16329.6</v>
      </c>
      <c r="M248" s="80">
        <v>0</v>
      </c>
      <c r="N248" s="46">
        <v>0</v>
      </c>
      <c r="O248" s="80">
        <v>0</v>
      </c>
      <c r="P248" s="46">
        <v>0</v>
      </c>
      <c r="Q248" s="80">
        <v>0</v>
      </c>
      <c r="R248" s="46">
        <v>0</v>
      </c>
      <c r="S248" s="80">
        <v>0</v>
      </c>
      <c r="T248" s="46">
        <v>0</v>
      </c>
      <c r="U248" s="80">
        <v>0</v>
      </c>
      <c r="V248" s="46">
        <v>0</v>
      </c>
      <c r="W248" s="80">
        <v>0</v>
      </c>
      <c r="X248" s="46">
        <v>0</v>
      </c>
      <c r="Y248" s="80">
        <v>0</v>
      </c>
      <c r="Z248" s="46">
        <v>0</v>
      </c>
      <c r="AA248" s="80">
        <v>0</v>
      </c>
      <c r="AB248" s="46">
        <v>0</v>
      </c>
      <c r="AC248" s="80">
        <v>0</v>
      </c>
      <c r="AD248" s="46">
        <v>0</v>
      </c>
      <c r="AE248" s="29"/>
    </row>
    <row r="249" spans="1:31" ht="12" customHeight="1" x14ac:dyDescent="0.2">
      <c r="A249" s="24"/>
      <c r="B249" s="35"/>
      <c r="C249" s="51" t="s">
        <v>285</v>
      </c>
      <c r="D249" s="52">
        <f>G249+I249+K249+M249+O249+Q249+S249+U249+W249+Y249+AA249+AC249</f>
        <v>24</v>
      </c>
      <c r="E249" s="41" t="s">
        <v>249</v>
      </c>
      <c r="F249" s="42">
        <f>SUM(H249,J249,L249,N249,P249,R249,T249,V249,X249,Z249,AB249,AD249)</f>
        <v>76809.600000000006</v>
      </c>
      <c r="G249" s="80">
        <v>0</v>
      </c>
      <c r="H249" s="46">
        <f>(G249*AF249)*1.2</f>
        <v>0</v>
      </c>
      <c r="I249" s="80">
        <v>0</v>
      </c>
      <c r="J249" s="46">
        <f>(I249*AF249)*1.2</f>
        <v>0</v>
      </c>
      <c r="K249" s="80">
        <v>24</v>
      </c>
      <c r="L249" s="46">
        <v>76809.600000000006</v>
      </c>
      <c r="M249" s="80">
        <v>0</v>
      </c>
      <c r="N249" s="46">
        <f>(M249*AF249)*1.2</f>
        <v>0</v>
      </c>
      <c r="O249" s="80">
        <v>0</v>
      </c>
      <c r="P249" s="46">
        <v>0</v>
      </c>
      <c r="Q249" s="80">
        <v>0</v>
      </c>
      <c r="R249" s="46">
        <v>0</v>
      </c>
      <c r="S249" s="80">
        <v>0</v>
      </c>
      <c r="T249" s="46">
        <v>0</v>
      </c>
      <c r="U249" s="80">
        <v>0</v>
      </c>
      <c r="V249" s="46">
        <v>0</v>
      </c>
      <c r="W249" s="80">
        <v>0</v>
      </c>
      <c r="X249" s="46">
        <v>0</v>
      </c>
      <c r="Y249" s="80">
        <v>0</v>
      </c>
      <c r="Z249" s="46">
        <v>0</v>
      </c>
      <c r="AA249" s="80">
        <v>0</v>
      </c>
      <c r="AB249" s="46">
        <v>0</v>
      </c>
      <c r="AC249" s="80">
        <v>0</v>
      </c>
      <c r="AD249" s="46">
        <v>0</v>
      </c>
      <c r="AE249" s="29"/>
    </row>
    <row r="250" spans="1:31" ht="12" customHeight="1" x14ac:dyDescent="0.2">
      <c r="A250" s="24"/>
      <c r="B250" s="35"/>
      <c r="C250" s="51" t="s">
        <v>286</v>
      </c>
      <c r="D250" s="52">
        <f>G250+I250+K250+M250+O250+Q250+S250+U250+W250+Y250+AA250+AC250</f>
        <v>24</v>
      </c>
      <c r="E250" s="41" t="s">
        <v>249</v>
      </c>
      <c r="F250" s="42">
        <f>SUM(H250,J250,L250,N250,P250,R250,T250,V250,X250,Z250,AB250,AD250)</f>
        <v>14400</v>
      </c>
      <c r="G250" s="80">
        <v>0</v>
      </c>
      <c r="H250" s="46">
        <f>(G250*AF250)*1.2</f>
        <v>0</v>
      </c>
      <c r="I250" s="80">
        <v>24</v>
      </c>
      <c r="J250" s="46">
        <v>14400</v>
      </c>
      <c r="K250" s="80">
        <v>0</v>
      </c>
      <c r="L250" s="46">
        <f>(K250*AF250)*1.2</f>
        <v>0</v>
      </c>
      <c r="M250" s="80">
        <v>0</v>
      </c>
      <c r="N250" s="46">
        <f>(M250*AF250)*1.2</f>
        <v>0</v>
      </c>
      <c r="O250" s="80">
        <v>0</v>
      </c>
      <c r="P250" s="46">
        <v>0</v>
      </c>
      <c r="Q250" s="80">
        <v>0</v>
      </c>
      <c r="R250" s="46">
        <v>0</v>
      </c>
      <c r="S250" s="80">
        <v>0</v>
      </c>
      <c r="T250" s="46">
        <v>0</v>
      </c>
      <c r="U250" s="80">
        <v>0</v>
      </c>
      <c r="V250" s="46">
        <v>0</v>
      </c>
      <c r="W250" s="80">
        <v>0</v>
      </c>
      <c r="X250" s="46">
        <v>0</v>
      </c>
      <c r="Y250" s="80">
        <v>0</v>
      </c>
      <c r="Z250" s="46">
        <v>0</v>
      </c>
      <c r="AA250" s="80">
        <v>0</v>
      </c>
      <c r="AB250" s="46">
        <v>0</v>
      </c>
      <c r="AC250" s="80">
        <v>0</v>
      </c>
      <c r="AD250" s="46">
        <v>0</v>
      </c>
      <c r="AE250" s="29"/>
    </row>
    <row r="251" spans="1:31" ht="25.5" customHeight="1" x14ac:dyDescent="0.2">
      <c r="A251" s="24"/>
      <c r="B251" s="35">
        <v>357</v>
      </c>
      <c r="C251" s="31" t="s">
        <v>287</v>
      </c>
      <c r="D251" s="52"/>
      <c r="E251" s="30"/>
      <c r="F251" s="36">
        <f>F252</f>
        <v>1500</v>
      </c>
      <c r="G251" s="55" t="s">
        <v>123</v>
      </c>
      <c r="H251" s="56">
        <f>H252</f>
        <v>0</v>
      </c>
      <c r="I251" s="55" t="s">
        <v>123</v>
      </c>
      <c r="J251" s="56">
        <f>J252</f>
        <v>750</v>
      </c>
      <c r="K251" s="55" t="s">
        <v>123</v>
      </c>
      <c r="L251" s="56">
        <f>L252</f>
        <v>0</v>
      </c>
      <c r="M251" s="55"/>
      <c r="N251" s="56">
        <f>N252</f>
        <v>0</v>
      </c>
      <c r="O251" s="55" t="s">
        <v>123</v>
      </c>
      <c r="P251" s="56">
        <f>P252</f>
        <v>0</v>
      </c>
      <c r="Q251" s="55" t="s">
        <v>123</v>
      </c>
      <c r="R251" s="56">
        <f>R252</f>
        <v>0</v>
      </c>
      <c r="S251" s="55" t="s">
        <v>123</v>
      </c>
      <c r="T251" s="56">
        <f>T252</f>
        <v>750</v>
      </c>
      <c r="U251" s="55" t="s">
        <v>123</v>
      </c>
      <c r="V251" s="56">
        <f>V252</f>
        <v>0</v>
      </c>
      <c r="W251" s="55" t="s">
        <v>123</v>
      </c>
      <c r="X251" s="56">
        <f>X252</f>
        <v>0</v>
      </c>
      <c r="Y251" s="55" t="s">
        <v>123</v>
      </c>
      <c r="Z251" s="56">
        <f>Z252</f>
        <v>0</v>
      </c>
      <c r="AA251" s="55" t="s">
        <v>123</v>
      </c>
      <c r="AB251" s="56">
        <f>AB252</f>
        <v>0</v>
      </c>
      <c r="AC251" s="53">
        <v>0</v>
      </c>
      <c r="AD251" s="46">
        <v>0</v>
      </c>
      <c r="AE251" s="29"/>
    </row>
    <row r="252" spans="1:31" ht="12.75" customHeight="1" x14ac:dyDescent="0.2">
      <c r="A252" s="24"/>
      <c r="B252" s="35"/>
      <c r="C252" s="51" t="s">
        <v>288</v>
      </c>
      <c r="D252" s="52">
        <f>G252+I252+K252+M252+O252+Q252+S252+U252+W252+Y252+AA252+AC252</f>
        <v>2</v>
      </c>
      <c r="E252" s="41" t="s">
        <v>249</v>
      </c>
      <c r="F252" s="42">
        <f>SUM(H252,J252,L252,N252,P252,R252,T252,V252,X252,Z252,AB252,AD252)</f>
        <v>1500</v>
      </c>
      <c r="G252" s="53">
        <v>0</v>
      </c>
      <c r="H252" s="46">
        <v>0</v>
      </c>
      <c r="I252" s="53">
        <v>1</v>
      </c>
      <c r="J252" s="46">
        <v>750</v>
      </c>
      <c r="K252" s="53">
        <v>0</v>
      </c>
      <c r="L252" s="46">
        <v>0</v>
      </c>
      <c r="M252" s="53">
        <v>0</v>
      </c>
      <c r="N252" s="46">
        <v>0</v>
      </c>
      <c r="O252" s="53">
        <v>0</v>
      </c>
      <c r="P252" s="46">
        <v>0</v>
      </c>
      <c r="Q252" s="53">
        <v>0</v>
      </c>
      <c r="R252" s="46">
        <v>0</v>
      </c>
      <c r="S252" s="53">
        <v>1</v>
      </c>
      <c r="T252" s="46">
        <f>S252*750</f>
        <v>750</v>
      </c>
      <c r="U252" s="53">
        <v>0</v>
      </c>
      <c r="V252" s="46">
        <v>0</v>
      </c>
      <c r="W252" s="53">
        <v>0</v>
      </c>
      <c r="X252" s="46">
        <v>0</v>
      </c>
      <c r="Y252" s="53">
        <v>0</v>
      </c>
      <c r="Z252" s="46">
        <v>0</v>
      </c>
      <c r="AA252" s="53">
        <v>0</v>
      </c>
      <c r="AB252" s="46">
        <v>0</v>
      </c>
      <c r="AC252" s="53">
        <v>0</v>
      </c>
      <c r="AD252" s="46">
        <v>0</v>
      </c>
      <c r="AE252" s="29"/>
    </row>
    <row r="253" spans="1:31" ht="12" customHeight="1" x14ac:dyDescent="0.2">
      <c r="A253" s="24"/>
      <c r="B253" s="35">
        <v>359</v>
      </c>
      <c r="C253" s="31" t="s">
        <v>289</v>
      </c>
      <c r="D253" s="52"/>
      <c r="E253" s="30"/>
      <c r="F253" s="36">
        <f>F254</f>
        <v>25000</v>
      </c>
      <c r="G253" s="55"/>
      <c r="H253" s="56">
        <f>H254</f>
        <v>0</v>
      </c>
      <c r="I253" s="55"/>
      <c r="J253" s="56">
        <f>J254</f>
        <v>12500</v>
      </c>
      <c r="K253" s="55"/>
      <c r="L253" s="56">
        <f>L254</f>
        <v>0</v>
      </c>
      <c r="M253" s="55"/>
      <c r="N253" s="56">
        <f>N254</f>
        <v>0</v>
      </c>
      <c r="O253" s="55"/>
      <c r="P253" s="56">
        <f>P254</f>
        <v>12500</v>
      </c>
      <c r="Q253" s="55" t="s">
        <v>123</v>
      </c>
      <c r="R253" s="56">
        <f>R254</f>
        <v>0</v>
      </c>
      <c r="S253" s="55"/>
      <c r="T253" s="56">
        <f>T254</f>
        <v>0</v>
      </c>
      <c r="U253" s="55"/>
      <c r="V253" s="56">
        <f>V254</f>
        <v>0</v>
      </c>
      <c r="W253" s="55"/>
      <c r="X253" s="56">
        <f>X254</f>
        <v>0</v>
      </c>
      <c r="Y253" s="55"/>
      <c r="Z253" s="56">
        <f>Z254</f>
        <v>0</v>
      </c>
      <c r="AA253" s="55"/>
      <c r="AB253" s="56">
        <f>AB254</f>
        <v>0</v>
      </c>
      <c r="AC253" s="55"/>
      <c r="AD253" s="56">
        <f>AD254</f>
        <v>0</v>
      </c>
      <c r="AE253" s="29"/>
    </row>
    <row r="254" spans="1:31" ht="13.5" customHeight="1" x14ac:dyDescent="0.2">
      <c r="A254" s="24"/>
      <c r="B254" s="35"/>
      <c r="C254" s="51" t="s">
        <v>290</v>
      </c>
      <c r="D254" s="52">
        <f>G254+I254+K254+M254+O254+Q254+S254+U254+W254+Y254+AA254+AC254</f>
        <v>10</v>
      </c>
      <c r="E254" s="41" t="s">
        <v>249</v>
      </c>
      <c r="F254" s="42">
        <f>SUM(H254,J254,L254,N254,P254,R254,T254,V254,X254,Z254,AB254,AD254)</f>
        <v>25000</v>
      </c>
      <c r="G254" s="53">
        <v>0</v>
      </c>
      <c r="H254" s="46">
        <v>0</v>
      </c>
      <c r="I254" s="53">
        <v>5</v>
      </c>
      <c r="J254" s="46">
        <v>12500</v>
      </c>
      <c r="K254" s="53">
        <v>0</v>
      </c>
      <c r="L254" s="46">
        <v>0</v>
      </c>
      <c r="M254" s="53">
        <v>0</v>
      </c>
      <c r="N254" s="46">
        <v>0</v>
      </c>
      <c r="O254" s="53">
        <v>5</v>
      </c>
      <c r="P254" s="46">
        <v>12500</v>
      </c>
      <c r="Q254" s="53">
        <v>0</v>
      </c>
      <c r="R254" s="46">
        <v>0</v>
      </c>
      <c r="S254" s="53">
        <v>0</v>
      </c>
      <c r="T254" s="46">
        <v>0</v>
      </c>
      <c r="U254" s="53">
        <v>0</v>
      </c>
      <c r="V254" s="46">
        <v>0</v>
      </c>
      <c r="W254" s="53">
        <v>0</v>
      </c>
      <c r="X254" s="46">
        <v>0</v>
      </c>
      <c r="Y254" s="53">
        <v>0</v>
      </c>
      <c r="Z254" s="46">
        <v>0</v>
      </c>
      <c r="AA254" s="53">
        <v>0</v>
      </c>
      <c r="AB254" s="46">
        <v>0</v>
      </c>
      <c r="AC254" s="53">
        <v>0</v>
      </c>
      <c r="AD254" s="46">
        <v>0</v>
      </c>
      <c r="AE254" s="29"/>
    </row>
    <row r="255" spans="1:31" ht="26.25" customHeight="1" x14ac:dyDescent="0.2">
      <c r="A255" s="24"/>
      <c r="B255" s="31">
        <v>50000</v>
      </c>
      <c r="C255" s="31" t="s">
        <v>291</v>
      </c>
      <c r="D255" s="52"/>
      <c r="E255" s="30"/>
      <c r="F255" s="36">
        <f>F256+F279+F272+F282</f>
        <v>937863.42800000007</v>
      </c>
      <c r="G255" s="36"/>
      <c r="H255" s="36">
        <f>H256+H279+H272+H282</f>
        <v>13860</v>
      </c>
      <c r="I255" s="36"/>
      <c r="J255" s="36">
        <f>J256+J279+J272+J282</f>
        <v>672368</v>
      </c>
      <c r="K255" s="36"/>
      <c r="L255" s="36">
        <f>L256+L279+L272+L282</f>
        <v>0</v>
      </c>
      <c r="M255" s="36"/>
      <c r="N255" s="36">
        <f>N256+N279+N272+N282</f>
        <v>106836</v>
      </c>
      <c r="O255" s="36"/>
      <c r="P255" s="36">
        <f>P256+P279+P272+P282</f>
        <v>131096</v>
      </c>
      <c r="Q255" s="36"/>
      <c r="R255" s="36">
        <f>R256+R279+R272+R282</f>
        <v>0</v>
      </c>
      <c r="S255" s="36"/>
      <c r="T255" s="36">
        <f>T256+T279+T272+T282</f>
        <v>0</v>
      </c>
      <c r="U255" s="36"/>
      <c r="V255" s="36">
        <f>V256+V279+V272+V282</f>
        <v>0</v>
      </c>
      <c r="W255" s="36"/>
      <c r="X255" s="36">
        <f>X256+X279+X272+X282</f>
        <v>0</v>
      </c>
      <c r="Y255" s="36"/>
      <c r="Z255" s="36">
        <f>Z256+Z279+Z272+Z282</f>
        <v>0</v>
      </c>
      <c r="AA255" s="36"/>
      <c r="AB255" s="36">
        <f>AB256+AB279+AB272+AB282</f>
        <v>0</v>
      </c>
      <c r="AC255" s="36"/>
      <c r="AD255" s="36">
        <f>AD256+AD279+AD272+AD282</f>
        <v>0</v>
      </c>
      <c r="AE255" s="29"/>
    </row>
    <row r="256" spans="1:31" ht="24.75" customHeight="1" x14ac:dyDescent="0.2">
      <c r="A256" s="24"/>
      <c r="B256" s="30">
        <v>5100</v>
      </c>
      <c r="C256" s="31" t="s">
        <v>292</v>
      </c>
      <c r="D256" s="52"/>
      <c r="E256" s="30"/>
      <c r="F256" s="56">
        <f>F257+F272</f>
        <v>403725.71400000004</v>
      </c>
      <c r="G256" s="55" t="s">
        <v>123</v>
      </c>
      <c r="H256" s="56">
        <f>SUM(H257+H272)</f>
        <v>6930</v>
      </c>
      <c r="I256" s="56"/>
      <c r="J256" s="56">
        <f>SUM(J257+J272)</f>
        <v>207350</v>
      </c>
      <c r="K256" s="56"/>
      <c r="L256" s="56">
        <f>SUM(L257+L272)</f>
        <v>0</v>
      </c>
      <c r="M256" s="56"/>
      <c r="N256" s="56">
        <f>SUM(N257+N272)</f>
        <v>53418</v>
      </c>
      <c r="O256" s="56"/>
      <c r="P256" s="56">
        <f>SUM(P257+P272)</f>
        <v>129176</v>
      </c>
      <c r="Q256" s="56"/>
      <c r="R256" s="56">
        <f>SUM(R257+R272)</f>
        <v>0</v>
      </c>
      <c r="S256" s="56"/>
      <c r="T256" s="56">
        <f>SUM(T257+T272)</f>
        <v>0</v>
      </c>
      <c r="U256" s="56"/>
      <c r="V256" s="56">
        <f>SUM(V257+V272)</f>
        <v>0</v>
      </c>
      <c r="W256" s="56"/>
      <c r="X256" s="56">
        <f>SUM(X257+X272)</f>
        <v>0</v>
      </c>
      <c r="Y256" s="56"/>
      <c r="Z256" s="56">
        <f>SUM(Z257+Z272)</f>
        <v>0</v>
      </c>
      <c r="AA256" s="56"/>
      <c r="AB256" s="56">
        <f>SUM(AB257+AB272)</f>
        <v>0</v>
      </c>
      <c r="AC256" s="56"/>
      <c r="AD256" s="56">
        <f>SUM(AD257+AD272)</f>
        <v>0</v>
      </c>
      <c r="AE256" s="29"/>
    </row>
    <row r="257" spans="1:32" ht="17.25" customHeight="1" x14ac:dyDescent="0.2">
      <c r="A257" s="24"/>
      <c r="B257" s="35">
        <v>511</v>
      </c>
      <c r="C257" s="31" t="s">
        <v>293</v>
      </c>
      <c r="D257" s="52"/>
      <c r="E257" s="30"/>
      <c r="F257" s="36">
        <f>SUM(F258:F265)</f>
        <v>283108</v>
      </c>
      <c r="G257" s="55" t="s">
        <v>123</v>
      </c>
      <c r="H257" s="36">
        <f>SUM(H258:H265)</f>
        <v>0</v>
      </c>
      <c r="I257" s="55" t="s">
        <v>123</v>
      </c>
      <c r="J257" s="36">
        <f>SUM(J258:J265)</f>
        <v>155852</v>
      </c>
      <c r="K257" s="55"/>
      <c r="L257" s="36">
        <f>SUM(L258:L265)</f>
        <v>0</v>
      </c>
      <c r="M257" s="55"/>
      <c r="N257" s="36">
        <f>SUM(N258:N265)</f>
        <v>0</v>
      </c>
      <c r="O257" s="55"/>
      <c r="P257" s="36">
        <f>SUM(P258:P265)</f>
        <v>127256</v>
      </c>
      <c r="Q257" s="55"/>
      <c r="R257" s="36">
        <f>SUM(R258:R265)</f>
        <v>0</v>
      </c>
      <c r="S257" s="55"/>
      <c r="T257" s="36">
        <f>SUM(T258:T265)</f>
        <v>0</v>
      </c>
      <c r="U257" s="55"/>
      <c r="V257" s="36">
        <f>SUM(V258:V265)</f>
        <v>0</v>
      </c>
      <c r="W257" s="55"/>
      <c r="X257" s="36">
        <f>SUM(X258:X265)</f>
        <v>0</v>
      </c>
      <c r="Y257" s="55"/>
      <c r="Z257" s="36">
        <f>SUM(Z258:Z265)</f>
        <v>0</v>
      </c>
      <c r="AA257" s="55"/>
      <c r="AB257" s="36">
        <f>SUM(AB258:AB265)</f>
        <v>0</v>
      </c>
      <c r="AC257" s="55"/>
      <c r="AD257" s="36">
        <f>SUM(AD258:AD265)</f>
        <v>0</v>
      </c>
      <c r="AE257" s="85"/>
      <c r="AF257" s="58"/>
    </row>
    <row r="258" spans="1:32" ht="14.25" customHeight="1" x14ac:dyDescent="0.2">
      <c r="A258" s="24"/>
      <c r="B258" s="35"/>
      <c r="C258" s="51" t="s">
        <v>294</v>
      </c>
      <c r="D258" s="52">
        <f t="shared" ref="D258:D263" si="86">G258+I258+K258+M258+O258+Q258+S258+U258+W258+Y258+AA258+AC258</f>
        <v>11</v>
      </c>
      <c r="E258" s="41" t="s">
        <v>39</v>
      </c>
      <c r="F258" s="42">
        <f t="shared" ref="F258:F265" si="87">SUM(H258,J258,L258,N258,P258,R258,T258,V258,X258,Z258,AB258,AD258)</f>
        <v>36300</v>
      </c>
      <c r="G258" s="53">
        <v>0</v>
      </c>
      <c r="H258" s="46">
        <v>0</v>
      </c>
      <c r="I258" s="53">
        <v>6</v>
      </c>
      <c r="J258" s="46">
        <f>I258*3300</f>
        <v>19800</v>
      </c>
      <c r="K258" s="53">
        <v>0</v>
      </c>
      <c r="L258" s="46">
        <v>0</v>
      </c>
      <c r="M258" s="53">
        <v>0</v>
      </c>
      <c r="N258" s="46">
        <v>0</v>
      </c>
      <c r="O258" s="53">
        <v>5</v>
      </c>
      <c r="P258" s="46">
        <f>O258*3300</f>
        <v>16500</v>
      </c>
      <c r="Q258" s="53">
        <v>0</v>
      </c>
      <c r="R258" s="46">
        <v>0</v>
      </c>
      <c r="S258" s="53">
        <v>0</v>
      </c>
      <c r="T258" s="46">
        <v>0</v>
      </c>
      <c r="U258" s="53">
        <v>0</v>
      </c>
      <c r="V258" s="46">
        <v>0</v>
      </c>
      <c r="W258" s="53">
        <v>0</v>
      </c>
      <c r="X258" s="46">
        <v>0</v>
      </c>
      <c r="Y258" s="53">
        <v>0</v>
      </c>
      <c r="Z258" s="46">
        <v>0</v>
      </c>
      <c r="AA258" s="53">
        <v>0</v>
      </c>
      <c r="AB258" s="46">
        <v>0</v>
      </c>
      <c r="AC258" s="53">
        <v>0</v>
      </c>
      <c r="AD258" s="46">
        <v>0</v>
      </c>
      <c r="AE258" s="85"/>
      <c r="AF258" s="58"/>
    </row>
    <row r="259" spans="1:32" ht="14.25" customHeight="1" x14ac:dyDescent="0.2">
      <c r="A259" s="24"/>
      <c r="B259" s="35"/>
      <c r="C259" s="51" t="s">
        <v>295</v>
      </c>
      <c r="D259" s="52">
        <f t="shared" si="86"/>
        <v>11</v>
      </c>
      <c r="E259" s="41" t="s">
        <v>39</v>
      </c>
      <c r="F259" s="42">
        <f t="shared" si="87"/>
        <v>31900</v>
      </c>
      <c r="G259" s="53">
        <v>0</v>
      </c>
      <c r="H259" s="46">
        <v>0</v>
      </c>
      <c r="I259" s="53">
        <v>7</v>
      </c>
      <c r="J259" s="46">
        <f>I259*2900</f>
        <v>20300</v>
      </c>
      <c r="K259" s="53">
        <v>0</v>
      </c>
      <c r="L259" s="46">
        <v>0</v>
      </c>
      <c r="M259" s="53">
        <v>0</v>
      </c>
      <c r="N259" s="46">
        <v>0</v>
      </c>
      <c r="O259" s="53">
        <v>4</v>
      </c>
      <c r="P259" s="46">
        <f>O259*2900</f>
        <v>11600</v>
      </c>
      <c r="Q259" s="53">
        <v>0</v>
      </c>
      <c r="R259" s="46">
        <v>0</v>
      </c>
      <c r="S259" s="53">
        <v>0</v>
      </c>
      <c r="T259" s="46">
        <v>0</v>
      </c>
      <c r="U259" s="53">
        <v>0</v>
      </c>
      <c r="V259" s="46">
        <v>0</v>
      </c>
      <c r="W259" s="53">
        <v>0</v>
      </c>
      <c r="X259" s="46">
        <v>0</v>
      </c>
      <c r="Y259" s="53">
        <v>0</v>
      </c>
      <c r="Z259" s="46">
        <v>0</v>
      </c>
      <c r="AA259" s="53">
        <v>0</v>
      </c>
      <c r="AB259" s="46">
        <v>0</v>
      </c>
      <c r="AC259" s="53">
        <v>0</v>
      </c>
      <c r="AD259" s="46">
        <v>0</v>
      </c>
      <c r="AE259" s="85"/>
      <c r="AF259" s="58"/>
    </row>
    <row r="260" spans="1:32" ht="14.25" customHeight="1" x14ac:dyDescent="0.2">
      <c r="A260" s="24"/>
      <c r="B260" s="35"/>
      <c r="C260" s="51" t="s">
        <v>296</v>
      </c>
      <c r="D260" s="52">
        <f t="shared" si="86"/>
        <v>18</v>
      </c>
      <c r="E260" s="41" t="s">
        <v>39</v>
      </c>
      <c r="F260" s="42">
        <f t="shared" si="87"/>
        <v>66402</v>
      </c>
      <c r="G260" s="53">
        <v>0</v>
      </c>
      <c r="H260" s="46">
        <f>3689*G260</f>
        <v>0</v>
      </c>
      <c r="I260" s="53">
        <v>9</v>
      </c>
      <c r="J260" s="46">
        <f>3689*I260</f>
        <v>33201</v>
      </c>
      <c r="K260" s="53">
        <v>0</v>
      </c>
      <c r="L260" s="46">
        <f>K260*3689</f>
        <v>0</v>
      </c>
      <c r="M260" s="53">
        <v>0</v>
      </c>
      <c r="N260" s="46">
        <v>0</v>
      </c>
      <c r="O260" s="53">
        <v>9</v>
      </c>
      <c r="P260" s="46">
        <f>O260*3689</f>
        <v>33201</v>
      </c>
      <c r="Q260" s="53">
        <v>0</v>
      </c>
      <c r="R260" s="46">
        <f>Q260*3689</f>
        <v>0</v>
      </c>
      <c r="S260" s="53">
        <v>0</v>
      </c>
      <c r="T260" s="46">
        <v>0</v>
      </c>
      <c r="U260" s="53">
        <v>0</v>
      </c>
      <c r="V260" s="46">
        <v>0</v>
      </c>
      <c r="W260" s="53">
        <v>0</v>
      </c>
      <c r="X260" s="46">
        <v>0</v>
      </c>
      <c r="Y260" s="53">
        <v>0</v>
      </c>
      <c r="Z260" s="46">
        <v>0</v>
      </c>
      <c r="AA260" s="53">
        <v>0</v>
      </c>
      <c r="AB260" s="46">
        <v>0</v>
      </c>
      <c r="AC260" s="53">
        <v>0</v>
      </c>
      <c r="AD260" s="46">
        <v>0</v>
      </c>
      <c r="AE260" s="85"/>
      <c r="AF260" s="58"/>
    </row>
    <row r="261" spans="1:32" ht="14.25" customHeight="1" x14ac:dyDescent="0.2">
      <c r="A261" s="24"/>
      <c r="B261" s="35"/>
      <c r="C261" s="51" t="s">
        <v>297</v>
      </c>
      <c r="D261" s="52">
        <f t="shared" si="86"/>
        <v>24</v>
      </c>
      <c r="E261" s="41" t="s">
        <v>39</v>
      </c>
      <c r="F261" s="42">
        <f t="shared" si="87"/>
        <v>27096</v>
      </c>
      <c r="G261" s="53">
        <v>0</v>
      </c>
      <c r="H261" s="46">
        <v>0</v>
      </c>
      <c r="I261" s="53">
        <v>12</v>
      </c>
      <c r="J261" s="46">
        <f>I261*1129</f>
        <v>13548</v>
      </c>
      <c r="K261" s="53">
        <v>0</v>
      </c>
      <c r="L261" s="46">
        <v>0</v>
      </c>
      <c r="M261" s="53">
        <v>0</v>
      </c>
      <c r="N261" s="46">
        <v>0</v>
      </c>
      <c r="O261" s="53">
        <v>12</v>
      </c>
      <c r="P261" s="46">
        <f>O261*1129</f>
        <v>13548</v>
      </c>
      <c r="Q261" s="53">
        <v>0</v>
      </c>
      <c r="R261" s="46">
        <v>0</v>
      </c>
      <c r="S261" s="53">
        <v>0</v>
      </c>
      <c r="T261" s="46">
        <v>0</v>
      </c>
      <c r="U261" s="53">
        <v>0</v>
      </c>
      <c r="V261" s="46">
        <v>0</v>
      </c>
      <c r="W261" s="53">
        <v>0</v>
      </c>
      <c r="X261" s="46">
        <v>0</v>
      </c>
      <c r="Y261" s="53">
        <v>0</v>
      </c>
      <c r="Z261" s="46">
        <v>0</v>
      </c>
      <c r="AA261" s="53">
        <v>0</v>
      </c>
      <c r="AB261" s="46">
        <v>0</v>
      </c>
      <c r="AC261" s="53">
        <v>0</v>
      </c>
      <c r="AD261" s="46">
        <v>0</v>
      </c>
      <c r="AE261" s="85"/>
      <c r="AF261" s="58"/>
    </row>
    <row r="262" spans="1:32" ht="14.25" customHeight="1" x14ac:dyDescent="0.2">
      <c r="A262" s="24"/>
      <c r="B262" s="35"/>
      <c r="C262" s="51" t="s">
        <v>298</v>
      </c>
      <c r="D262" s="52">
        <f t="shared" si="86"/>
        <v>5</v>
      </c>
      <c r="E262" s="41" t="s">
        <v>39</v>
      </c>
      <c r="F262" s="42">
        <f t="shared" si="87"/>
        <v>70005</v>
      </c>
      <c r="G262" s="53">
        <v>0</v>
      </c>
      <c r="H262" s="46">
        <v>0</v>
      </c>
      <c r="I262" s="53">
        <v>2</v>
      </c>
      <c r="J262" s="46">
        <f>I262*14001</f>
        <v>28002</v>
      </c>
      <c r="K262" s="53">
        <v>0</v>
      </c>
      <c r="L262" s="46">
        <v>0</v>
      </c>
      <c r="M262" s="53">
        <v>0</v>
      </c>
      <c r="N262" s="46">
        <v>0</v>
      </c>
      <c r="O262" s="53">
        <v>3</v>
      </c>
      <c r="P262" s="46">
        <f>O262*14001</f>
        <v>42003</v>
      </c>
      <c r="Q262" s="53">
        <v>0</v>
      </c>
      <c r="R262" s="46">
        <v>0</v>
      </c>
      <c r="S262" s="53">
        <v>0</v>
      </c>
      <c r="T262" s="46">
        <v>0</v>
      </c>
      <c r="U262" s="53">
        <v>0</v>
      </c>
      <c r="V262" s="46">
        <v>0</v>
      </c>
      <c r="W262" s="53">
        <v>0</v>
      </c>
      <c r="X262" s="46">
        <v>0</v>
      </c>
      <c r="Y262" s="53">
        <v>0</v>
      </c>
      <c r="Z262" s="46">
        <v>0</v>
      </c>
      <c r="AA262" s="53">
        <v>0</v>
      </c>
      <c r="AB262" s="46">
        <v>0</v>
      </c>
      <c r="AC262" s="53">
        <v>0</v>
      </c>
      <c r="AD262" s="46">
        <v>0</v>
      </c>
      <c r="AE262" s="85"/>
      <c r="AF262" s="58"/>
    </row>
    <row r="263" spans="1:32" ht="14.25" customHeight="1" x14ac:dyDescent="0.2">
      <c r="A263" s="24"/>
      <c r="B263" s="35"/>
      <c r="C263" s="51" t="s">
        <v>299</v>
      </c>
      <c r="D263" s="52">
        <f t="shared" si="86"/>
        <v>4</v>
      </c>
      <c r="E263" s="41" t="s">
        <v>39</v>
      </c>
      <c r="F263" s="42">
        <f t="shared" si="87"/>
        <v>20808</v>
      </c>
      <c r="G263" s="53">
        <v>0</v>
      </c>
      <c r="H263" s="46">
        <v>0</v>
      </c>
      <c r="I263" s="53">
        <v>2</v>
      </c>
      <c r="J263" s="46">
        <f>I263*5202</f>
        <v>10404</v>
      </c>
      <c r="K263" s="53">
        <v>0</v>
      </c>
      <c r="L263" s="46">
        <v>0</v>
      </c>
      <c r="M263" s="53">
        <v>0</v>
      </c>
      <c r="N263" s="46">
        <v>0</v>
      </c>
      <c r="O263" s="53">
        <v>2</v>
      </c>
      <c r="P263" s="46">
        <f>O263*5202</f>
        <v>10404</v>
      </c>
      <c r="Q263" s="53">
        <v>0</v>
      </c>
      <c r="R263" s="46">
        <v>0</v>
      </c>
      <c r="S263" s="53">
        <v>0</v>
      </c>
      <c r="T263" s="46">
        <v>0</v>
      </c>
      <c r="U263" s="53">
        <v>0</v>
      </c>
      <c r="V263" s="46">
        <v>0</v>
      </c>
      <c r="W263" s="53">
        <v>0</v>
      </c>
      <c r="X263" s="46">
        <v>0</v>
      </c>
      <c r="Y263" s="53">
        <v>0</v>
      </c>
      <c r="Z263" s="46">
        <v>0</v>
      </c>
      <c r="AA263" s="53">
        <v>0</v>
      </c>
      <c r="AB263" s="46">
        <v>0</v>
      </c>
      <c r="AC263" s="53">
        <v>0</v>
      </c>
      <c r="AD263" s="46">
        <v>0</v>
      </c>
      <c r="AE263" s="85"/>
      <c r="AF263" s="58"/>
    </row>
    <row r="264" spans="1:32" ht="14.25" customHeight="1" x14ac:dyDescent="0.2">
      <c r="A264" s="24"/>
      <c r="B264" s="35"/>
      <c r="C264" s="51" t="s">
        <v>300</v>
      </c>
      <c r="D264" s="52">
        <f>I264+I264+K264+M264+O264+Q264+S264+U264+W264+Y264+AA264+AC264</f>
        <v>6</v>
      </c>
      <c r="E264" s="41" t="s">
        <v>39</v>
      </c>
      <c r="F264" s="42">
        <f t="shared" si="87"/>
        <v>12597</v>
      </c>
      <c r="G264" s="45">
        <v>0</v>
      </c>
      <c r="H264" s="46">
        <v>0</v>
      </c>
      <c r="I264" s="53">
        <v>3</v>
      </c>
      <c r="J264" s="46">
        <f>I264*4199</f>
        <v>12597</v>
      </c>
      <c r="K264" s="53">
        <v>0</v>
      </c>
      <c r="L264" s="46">
        <v>0</v>
      </c>
      <c r="M264" s="53">
        <v>0</v>
      </c>
      <c r="N264" s="46">
        <v>0</v>
      </c>
      <c r="O264" s="53">
        <v>0</v>
      </c>
      <c r="P264" s="46">
        <v>0</v>
      </c>
      <c r="Q264" s="53">
        <v>0</v>
      </c>
      <c r="R264" s="46">
        <v>0</v>
      </c>
      <c r="S264" s="53">
        <v>0</v>
      </c>
      <c r="T264" s="46">
        <v>0</v>
      </c>
      <c r="U264" s="53">
        <v>0</v>
      </c>
      <c r="V264" s="46">
        <v>0</v>
      </c>
      <c r="W264" s="53">
        <v>0</v>
      </c>
      <c r="X264" s="46">
        <v>0</v>
      </c>
      <c r="Y264" s="53">
        <v>0</v>
      </c>
      <c r="Z264" s="46">
        <v>0</v>
      </c>
      <c r="AA264" s="53">
        <v>0</v>
      </c>
      <c r="AB264" s="46">
        <v>0</v>
      </c>
      <c r="AC264" s="53">
        <v>0</v>
      </c>
      <c r="AD264" s="46">
        <v>0</v>
      </c>
      <c r="AE264" s="85"/>
      <c r="AF264" s="58"/>
    </row>
    <row r="265" spans="1:32" ht="14.25" customHeight="1" x14ac:dyDescent="0.2">
      <c r="A265" s="24"/>
      <c r="B265" s="35"/>
      <c r="C265" s="51" t="s">
        <v>301</v>
      </c>
      <c r="D265" s="52">
        <f>G265+I265+K265+M265+O265+Q265+S265+U265+W265+Y265+AA265+AC265</f>
        <v>15</v>
      </c>
      <c r="E265" s="41" t="s">
        <v>39</v>
      </c>
      <c r="F265" s="42">
        <f t="shared" si="87"/>
        <v>18000</v>
      </c>
      <c r="G265" s="53">
        <v>0</v>
      </c>
      <c r="H265" s="46">
        <v>0</v>
      </c>
      <c r="I265" s="53">
        <v>15</v>
      </c>
      <c r="J265" s="46">
        <f>I265*1200</f>
        <v>18000</v>
      </c>
      <c r="K265" s="53">
        <v>0</v>
      </c>
      <c r="L265" s="46">
        <f>K265*4199</f>
        <v>0</v>
      </c>
      <c r="M265" s="53">
        <v>0</v>
      </c>
      <c r="N265" s="46">
        <v>0</v>
      </c>
      <c r="O265" s="53">
        <v>0</v>
      </c>
      <c r="P265" s="46">
        <v>0</v>
      </c>
      <c r="Q265" s="53">
        <v>0</v>
      </c>
      <c r="R265" s="46">
        <v>0</v>
      </c>
      <c r="S265" s="53">
        <v>0</v>
      </c>
      <c r="T265" s="46">
        <v>0</v>
      </c>
      <c r="U265" s="53">
        <v>0</v>
      </c>
      <c r="V265" s="46">
        <v>0</v>
      </c>
      <c r="W265" s="53">
        <v>0</v>
      </c>
      <c r="X265" s="46">
        <v>0</v>
      </c>
      <c r="Y265" s="53">
        <v>0</v>
      </c>
      <c r="Z265" s="46">
        <v>0</v>
      </c>
      <c r="AA265" s="53">
        <v>0</v>
      </c>
      <c r="AB265" s="46">
        <v>0</v>
      </c>
      <c r="AC265" s="53">
        <v>0</v>
      </c>
      <c r="AD265" s="46">
        <v>0</v>
      </c>
      <c r="AE265" s="85"/>
      <c r="AF265" s="58"/>
    </row>
    <row r="266" spans="1:32" ht="25.7" customHeight="1" x14ac:dyDescent="0.2">
      <c r="A266" s="24"/>
      <c r="B266" s="35">
        <v>515</v>
      </c>
      <c r="C266" s="31" t="s">
        <v>302</v>
      </c>
      <c r="D266" s="52"/>
      <c r="E266" s="41"/>
      <c r="F266" s="36">
        <f>SUM(F267:F271)</f>
        <v>136165.4664</v>
      </c>
      <c r="G266" s="55"/>
      <c r="H266" s="36">
        <f>SUM(H267:H271)</f>
        <v>124349.2488</v>
      </c>
      <c r="I266" s="55"/>
      <c r="J266" s="36">
        <f>SUM(J267:J271)</f>
        <v>0</v>
      </c>
      <c r="K266" s="55"/>
      <c r="L266" s="36">
        <f>SUM(L267:L271)</f>
        <v>8304.1088</v>
      </c>
      <c r="M266" s="55"/>
      <c r="N266" s="36">
        <f>SUM(N267:N271)</f>
        <v>0</v>
      </c>
      <c r="O266" s="55"/>
      <c r="P266" s="36">
        <f>SUM(P267:P271)</f>
        <v>3512.1087999999995</v>
      </c>
      <c r="Q266" s="55"/>
      <c r="R266" s="36">
        <f>SUM(R267:R271)</f>
        <v>0</v>
      </c>
      <c r="S266" s="55"/>
      <c r="T266" s="36">
        <f>SUM(T267:T271)</f>
        <v>0</v>
      </c>
      <c r="U266" s="55"/>
      <c r="V266" s="36">
        <f>SUM(V267:V271)</f>
        <v>0</v>
      </c>
      <c r="W266" s="55"/>
      <c r="X266" s="36">
        <f>SUM(X267:X271)</f>
        <v>0</v>
      </c>
      <c r="Y266" s="55"/>
      <c r="Z266" s="36">
        <f>SUM(Z267:Z271)</f>
        <v>0</v>
      </c>
      <c r="AA266" s="55"/>
      <c r="AB266" s="36">
        <f>SUM(AB267:AB271)</f>
        <v>0</v>
      </c>
      <c r="AC266" s="55"/>
      <c r="AD266" s="36">
        <f>SUM(AD267:AD271)</f>
        <v>0</v>
      </c>
      <c r="AE266" s="85"/>
      <c r="AF266" s="58"/>
    </row>
    <row r="267" spans="1:32" ht="16.5" customHeight="1" x14ac:dyDescent="0.2">
      <c r="A267" s="24"/>
      <c r="B267" s="35"/>
      <c r="C267" s="51" t="s">
        <v>303</v>
      </c>
      <c r="D267" s="52">
        <f>G267+I267+K267+M267+O267+Q267+S267+U267+W267+Y267+AA267+AC267</f>
        <v>8</v>
      </c>
      <c r="E267" s="41" t="s">
        <v>39</v>
      </c>
      <c r="F267" s="42">
        <f>H267+J267+L267+N267+P267+R267+T267+V267+X267+Z267+AB267+AD267</f>
        <v>4792</v>
      </c>
      <c r="G267" s="53">
        <v>0</v>
      </c>
      <c r="H267" s="46">
        <v>0</v>
      </c>
      <c r="I267" s="53">
        <v>0</v>
      </c>
      <c r="J267" s="46">
        <v>0</v>
      </c>
      <c r="K267" s="53">
        <v>8</v>
      </c>
      <c r="L267" s="46">
        <f>K267*599</f>
        <v>4792</v>
      </c>
      <c r="M267" s="53">
        <v>0</v>
      </c>
      <c r="N267" s="46">
        <v>0</v>
      </c>
      <c r="O267" s="53">
        <v>0</v>
      </c>
      <c r="P267" s="46">
        <v>0</v>
      </c>
      <c r="Q267" s="53">
        <v>0</v>
      </c>
      <c r="R267" s="46">
        <v>0</v>
      </c>
      <c r="S267" s="53">
        <v>0</v>
      </c>
      <c r="T267" s="46">
        <v>0</v>
      </c>
      <c r="U267" s="53">
        <v>0</v>
      </c>
      <c r="V267" s="46">
        <v>0</v>
      </c>
      <c r="W267" s="53">
        <v>0</v>
      </c>
      <c r="X267" s="46">
        <v>0</v>
      </c>
      <c r="Y267" s="53">
        <v>0</v>
      </c>
      <c r="Z267" s="46">
        <v>0</v>
      </c>
      <c r="AA267" s="53">
        <v>0</v>
      </c>
      <c r="AB267" s="46">
        <v>0</v>
      </c>
      <c r="AC267" s="53">
        <v>0</v>
      </c>
      <c r="AD267" s="46">
        <v>0</v>
      </c>
      <c r="AE267" s="85"/>
      <c r="AF267" s="58"/>
    </row>
    <row r="268" spans="1:32" ht="16.5" customHeight="1" x14ac:dyDescent="0.2">
      <c r="A268" s="24"/>
      <c r="B268" s="35"/>
      <c r="C268" s="51" t="s">
        <v>304</v>
      </c>
      <c r="D268" s="52">
        <f>G268+I268+K268+M268+O268+Q268+S268+U268+W268+Y268+AA268+AC268</f>
        <v>1</v>
      </c>
      <c r="E268" s="41" t="s">
        <v>39</v>
      </c>
      <c r="F268" s="42">
        <f>H268+J268+L268+N268+P268+R268+T268+V268+X268+Z268+AB268+AD268</f>
        <v>20000</v>
      </c>
      <c r="G268" s="53">
        <v>1</v>
      </c>
      <c r="H268" s="46">
        <v>20000</v>
      </c>
      <c r="I268" s="53">
        <v>0</v>
      </c>
      <c r="J268" s="46">
        <v>0</v>
      </c>
      <c r="K268" s="53">
        <v>0</v>
      </c>
      <c r="L268" s="46">
        <f>K268*599</f>
        <v>0</v>
      </c>
      <c r="M268" s="53">
        <v>0</v>
      </c>
      <c r="N268" s="46">
        <v>0</v>
      </c>
      <c r="O268" s="53">
        <v>0</v>
      </c>
      <c r="P268" s="46">
        <v>0</v>
      </c>
      <c r="Q268" s="53">
        <v>0</v>
      </c>
      <c r="R268" s="46">
        <v>0</v>
      </c>
      <c r="S268" s="53">
        <v>0</v>
      </c>
      <c r="T268" s="46">
        <v>0</v>
      </c>
      <c r="U268" s="53">
        <v>0</v>
      </c>
      <c r="V268" s="46">
        <v>0</v>
      </c>
      <c r="W268" s="53">
        <v>0</v>
      </c>
      <c r="X268" s="46">
        <v>0</v>
      </c>
      <c r="Y268" s="53">
        <v>0</v>
      </c>
      <c r="Z268" s="46">
        <v>0</v>
      </c>
      <c r="AA268" s="53">
        <v>0</v>
      </c>
      <c r="AB268" s="46">
        <v>0</v>
      </c>
      <c r="AC268" s="53">
        <v>0</v>
      </c>
      <c r="AD268" s="46">
        <v>0</v>
      </c>
      <c r="AE268" s="85"/>
      <c r="AF268" s="58"/>
    </row>
    <row r="269" spans="1:32" ht="24" x14ac:dyDescent="0.2">
      <c r="A269" s="24"/>
      <c r="B269" s="35"/>
      <c r="C269" s="51" t="s">
        <v>305</v>
      </c>
      <c r="D269" s="52">
        <f>G269+I269+K269+M269+O269+Q269+S269+U269+W269+Y269+AA269+AC269</f>
        <v>4</v>
      </c>
      <c r="E269" s="41" t="s">
        <v>39</v>
      </c>
      <c r="F269" s="42">
        <f>H269+J269+L269+N269+P269+R269+T269+V269+X269+Z269+AB269+AD269</f>
        <v>76837.14</v>
      </c>
      <c r="G269" s="53">
        <v>4</v>
      </c>
      <c r="H269" s="46">
        <v>76837.14</v>
      </c>
      <c r="I269" s="53">
        <v>0</v>
      </c>
      <c r="J269" s="46">
        <v>0</v>
      </c>
      <c r="K269" s="53">
        <v>0</v>
      </c>
      <c r="L269" s="46">
        <f>K269*599</f>
        <v>0</v>
      </c>
      <c r="M269" s="53">
        <v>0</v>
      </c>
      <c r="N269" s="46">
        <v>0</v>
      </c>
      <c r="O269" s="53">
        <v>0</v>
      </c>
      <c r="P269" s="46">
        <v>0</v>
      </c>
      <c r="Q269" s="53">
        <v>0</v>
      </c>
      <c r="R269" s="46">
        <v>0</v>
      </c>
      <c r="S269" s="53">
        <v>0</v>
      </c>
      <c r="T269" s="46">
        <v>0</v>
      </c>
      <c r="U269" s="53">
        <v>0</v>
      </c>
      <c r="V269" s="46">
        <v>0</v>
      </c>
      <c r="W269" s="53">
        <v>0</v>
      </c>
      <c r="X269" s="46">
        <v>0</v>
      </c>
      <c r="Y269" s="53">
        <v>0</v>
      </c>
      <c r="Z269" s="46">
        <v>0</v>
      </c>
      <c r="AA269" s="53">
        <v>0</v>
      </c>
      <c r="AB269" s="46">
        <v>0</v>
      </c>
      <c r="AC269" s="53">
        <v>0</v>
      </c>
      <c r="AD269" s="46">
        <v>0</v>
      </c>
      <c r="AE269" s="85"/>
      <c r="AF269" s="58"/>
    </row>
    <row r="270" spans="1:32" ht="16.5" customHeight="1" x14ac:dyDescent="0.2">
      <c r="A270" s="13"/>
      <c r="B270" s="86"/>
      <c r="C270" s="51" t="s">
        <v>306</v>
      </c>
      <c r="D270" s="87">
        <f>G270+I270+K270+M270+O270+Q270+S270+U270+W270+Y270+AA270+AC270</f>
        <v>1</v>
      </c>
      <c r="E270" s="88" t="s">
        <v>249</v>
      </c>
      <c r="F270" s="89">
        <f>H270+J270+L270+N270+P270+R270+T270+V270+X270+Z270+AB270+AD270</f>
        <v>24000</v>
      </c>
      <c r="G270" s="90">
        <v>1</v>
      </c>
      <c r="H270" s="91">
        <v>24000</v>
      </c>
      <c r="I270" s="90">
        <v>0</v>
      </c>
      <c r="J270" s="91">
        <v>0</v>
      </c>
      <c r="K270" s="90">
        <v>0</v>
      </c>
      <c r="L270" s="91">
        <f>K270*599</f>
        <v>0</v>
      </c>
      <c r="M270" s="90">
        <v>0</v>
      </c>
      <c r="N270" s="91">
        <v>0</v>
      </c>
      <c r="O270" s="90">
        <v>0</v>
      </c>
      <c r="P270" s="91">
        <v>0</v>
      </c>
      <c r="Q270" s="90">
        <v>0</v>
      </c>
      <c r="R270" s="91">
        <v>0</v>
      </c>
      <c r="S270" s="90">
        <v>0</v>
      </c>
      <c r="T270" s="91">
        <v>0</v>
      </c>
      <c r="U270" s="90">
        <v>0</v>
      </c>
      <c r="V270" s="91">
        <v>0</v>
      </c>
      <c r="W270" s="90">
        <v>0</v>
      </c>
      <c r="X270" s="91">
        <v>0</v>
      </c>
      <c r="Y270" s="90">
        <v>0</v>
      </c>
      <c r="Z270" s="91">
        <v>0</v>
      </c>
      <c r="AA270" s="90">
        <v>0</v>
      </c>
      <c r="AB270" s="91">
        <v>0</v>
      </c>
      <c r="AC270" s="90">
        <v>0</v>
      </c>
      <c r="AD270" s="91">
        <v>0</v>
      </c>
      <c r="AE270" s="85"/>
      <c r="AF270" s="58"/>
    </row>
    <row r="271" spans="1:32" ht="24" x14ac:dyDescent="0.2">
      <c r="A271" s="13"/>
      <c r="B271" s="35"/>
      <c r="C271" s="51" t="s">
        <v>307</v>
      </c>
      <c r="D271" s="52">
        <f>G271+I271+K271+M271+O271+Q271+S271+U271+W271+Y271+AA271+AC271</f>
        <v>6</v>
      </c>
      <c r="E271" s="41" t="s">
        <v>39</v>
      </c>
      <c r="F271" s="42">
        <f>SUM(H271,J271,L271,N271,P271,R271,T271,V271,X271,Z271,AB271,AD271)</f>
        <v>10536.326399999998</v>
      </c>
      <c r="G271" s="53">
        <v>2</v>
      </c>
      <c r="H271" s="46">
        <f>(G271*AF271)*1.16</f>
        <v>3512.1087999999995</v>
      </c>
      <c r="I271" s="53">
        <v>0</v>
      </c>
      <c r="J271" s="46">
        <f>(I271*AF271)*1.16</f>
        <v>0</v>
      </c>
      <c r="K271" s="53">
        <v>2</v>
      </c>
      <c r="L271" s="46">
        <f>(K271*AF271)*1.16</f>
        <v>3512.1087999999995</v>
      </c>
      <c r="M271" s="53">
        <v>0</v>
      </c>
      <c r="N271" s="46">
        <f>(M271*AF271)*1.16</f>
        <v>0</v>
      </c>
      <c r="O271" s="53">
        <v>2</v>
      </c>
      <c r="P271" s="46">
        <f>(O271*AF271)*1.16</f>
        <v>3512.1087999999995</v>
      </c>
      <c r="Q271" s="53">
        <v>0</v>
      </c>
      <c r="R271" s="46">
        <f>(Q271*AF271)*1.16</f>
        <v>0</v>
      </c>
      <c r="S271" s="53">
        <v>0</v>
      </c>
      <c r="T271" s="46">
        <f>(S271*AF271)*1.16</f>
        <v>0</v>
      </c>
      <c r="U271" s="53">
        <v>0</v>
      </c>
      <c r="V271" s="46">
        <f>(U271*AF271)*1.16</f>
        <v>0</v>
      </c>
      <c r="W271" s="53">
        <v>0</v>
      </c>
      <c r="X271" s="46">
        <f>(W271*AF271)*1.16</f>
        <v>0</v>
      </c>
      <c r="Y271" s="53">
        <v>0</v>
      </c>
      <c r="Z271" s="46">
        <f>(Y271*AF271)*1.16</f>
        <v>0</v>
      </c>
      <c r="AA271" s="53">
        <v>0</v>
      </c>
      <c r="AB271" s="46">
        <f>(AA271*AF271)*1.16</f>
        <v>0</v>
      </c>
      <c r="AC271" s="53">
        <v>0</v>
      </c>
      <c r="AD271" s="46">
        <f>(AC271*AF271)*1.16</f>
        <v>0</v>
      </c>
      <c r="AE271" s="29"/>
      <c r="AF271">
        <v>1513.84</v>
      </c>
    </row>
    <row r="272" spans="1:32" ht="24" x14ac:dyDescent="0.2">
      <c r="A272" s="13"/>
      <c r="B272" s="35">
        <v>519</v>
      </c>
      <c r="C272" s="31" t="s">
        <v>308</v>
      </c>
      <c r="D272" s="52"/>
      <c r="E272" s="41"/>
      <c r="F272" s="36">
        <f>SUM(F273:F278)</f>
        <v>120617.71400000001</v>
      </c>
      <c r="G272" s="55"/>
      <c r="H272" s="36">
        <f>SUM(H273:H275)</f>
        <v>6930</v>
      </c>
      <c r="I272" s="55"/>
      <c r="J272" s="36">
        <f>SUM(J273:J275)</f>
        <v>51498</v>
      </c>
      <c r="K272" s="55"/>
      <c r="L272" s="36">
        <f>SUM(L273:L275)</f>
        <v>0</v>
      </c>
      <c r="M272" s="55"/>
      <c r="N272" s="36">
        <f>SUM(N273:N275)</f>
        <v>53418</v>
      </c>
      <c r="O272" s="55"/>
      <c r="P272" s="36">
        <f>SUM(P273:P275)</f>
        <v>1920</v>
      </c>
      <c r="Q272" s="55"/>
      <c r="R272" s="36">
        <f>SUM(R273:R275)</f>
        <v>0</v>
      </c>
      <c r="S272" s="55"/>
      <c r="T272" s="36">
        <f>SUM(T273:T275)</f>
        <v>0</v>
      </c>
      <c r="U272" s="55"/>
      <c r="V272" s="36">
        <f>SUM(V273:V275)</f>
        <v>0</v>
      </c>
      <c r="W272" s="55"/>
      <c r="X272" s="36">
        <f>SUM(X273:X275)</f>
        <v>0</v>
      </c>
      <c r="Y272" s="55"/>
      <c r="Z272" s="36">
        <f>SUM(Z273:Z275)</f>
        <v>0</v>
      </c>
      <c r="AA272" s="55"/>
      <c r="AB272" s="36">
        <f>SUM(AB273:AB275)</f>
        <v>0</v>
      </c>
      <c r="AC272" s="55"/>
      <c r="AD272" s="36">
        <f>SUM(AD273:AD275)</f>
        <v>0</v>
      </c>
      <c r="AE272" s="85"/>
      <c r="AF272" s="92"/>
    </row>
    <row r="273" spans="1:32" ht="12" customHeight="1" x14ac:dyDescent="0.2">
      <c r="A273" s="13"/>
      <c r="B273" s="35"/>
      <c r="C273" s="51" t="s">
        <v>309</v>
      </c>
      <c r="D273" s="52">
        <f t="shared" ref="D273:D278" si="88">G273+I273+K273+M273+O273+Q273+S273+U273+W273+Y273+AA273+AC273</f>
        <v>13</v>
      </c>
      <c r="E273" s="41" t="s">
        <v>39</v>
      </c>
      <c r="F273" s="42">
        <f>H273+J273+L273+N273+P273+R273+T273+V273+X273+Z273+AB273+AD273</f>
        <v>75126</v>
      </c>
      <c r="G273" s="53">
        <v>5</v>
      </c>
      <c r="H273" s="42">
        <v>6930</v>
      </c>
      <c r="I273" s="53">
        <v>4</v>
      </c>
      <c r="J273" s="42">
        <v>34098</v>
      </c>
      <c r="K273" s="53">
        <v>0</v>
      </c>
      <c r="L273" s="42">
        <v>0</v>
      </c>
      <c r="M273" s="53">
        <v>4</v>
      </c>
      <c r="N273" s="42">
        <v>34098</v>
      </c>
      <c r="O273" s="53">
        <v>0</v>
      </c>
      <c r="P273" s="42">
        <v>0</v>
      </c>
      <c r="Q273" s="53">
        <v>0</v>
      </c>
      <c r="R273" s="42">
        <v>0</v>
      </c>
      <c r="S273" s="53">
        <v>0</v>
      </c>
      <c r="T273" s="42">
        <v>0</v>
      </c>
      <c r="U273" s="53">
        <v>0</v>
      </c>
      <c r="V273" s="42">
        <v>0</v>
      </c>
      <c r="W273" s="53">
        <v>0</v>
      </c>
      <c r="X273" s="42">
        <v>0</v>
      </c>
      <c r="Y273" s="53">
        <v>0</v>
      </c>
      <c r="Z273" s="42">
        <v>0</v>
      </c>
      <c r="AA273" s="53">
        <v>0</v>
      </c>
      <c r="AB273" s="42">
        <v>0</v>
      </c>
      <c r="AC273" s="53">
        <v>0</v>
      </c>
      <c r="AD273" s="42">
        <v>0</v>
      </c>
      <c r="AE273" s="85"/>
      <c r="AF273" s="92"/>
    </row>
    <row r="274" spans="1:32" ht="12" customHeight="1" x14ac:dyDescent="0.2">
      <c r="A274" s="13"/>
      <c r="B274" s="35"/>
      <c r="C274" s="51" t="s">
        <v>310</v>
      </c>
      <c r="D274" s="52">
        <f t="shared" si="88"/>
        <v>4</v>
      </c>
      <c r="E274" s="41" t="s">
        <v>39</v>
      </c>
      <c r="F274" s="42">
        <f>H274+J274+L274+N274+P274+R274+T274+V274+X274+Z274+AB274+AD274</f>
        <v>3840</v>
      </c>
      <c r="G274" s="53">
        <v>0</v>
      </c>
      <c r="H274" s="42">
        <v>0</v>
      </c>
      <c r="I274" s="53">
        <v>0</v>
      </c>
      <c r="J274" s="42">
        <v>0</v>
      </c>
      <c r="K274" s="53">
        <v>0</v>
      </c>
      <c r="L274" s="42">
        <v>0</v>
      </c>
      <c r="M274" s="53">
        <v>2</v>
      </c>
      <c r="N274" s="42">
        <v>1920</v>
      </c>
      <c r="O274" s="53">
        <v>2</v>
      </c>
      <c r="P274" s="42">
        <v>1920</v>
      </c>
      <c r="Q274" s="53">
        <v>0</v>
      </c>
      <c r="R274" s="42">
        <v>0</v>
      </c>
      <c r="S274" s="53">
        <v>0</v>
      </c>
      <c r="T274" s="42">
        <v>0</v>
      </c>
      <c r="U274" s="53">
        <v>0</v>
      </c>
      <c r="V274" s="42">
        <v>0</v>
      </c>
      <c r="W274" s="53">
        <v>0</v>
      </c>
      <c r="X274" s="42">
        <v>0</v>
      </c>
      <c r="Y274" s="53">
        <v>0</v>
      </c>
      <c r="Z274" s="42">
        <v>0</v>
      </c>
      <c r="AA274" s="53">
        <v>0</v>
      </c>
      <c r="AB274" s="42">
        <v>0</v>
      </c>
      <c r="AC274" s="53">
        <v>0</v>
      </c>
      <c r="AD274" s="42">
        <v>0</v>
      </c>
      <c r="AE274" s="85"/>
      <c r="AF274" s="92"/>
    </row>
    <row r="275" spans="1:32" ht="12" customHeight="1" x14ac:dyDescent="0.2">
      <c r="A275" s="13"/>
      <c r="B275" s="35"/>
      <c r="C275" s="51" t="s">
        <v>311</v>
      </c>
      <c r="D275" s="52">
        <f t="shared" si="88"/>
        <v>2</v>
      </c>
      <c r="E275" s="41" t="s">
        <v>39</v>
      </c>
      <c r="F275" s="42">
        <f>H275+J275+L275+N275+P275+R275+T275+V275+X275+Z275+AB275+AD275</f>
        <v>34800</v>
      </c>
      <c r="G275" s="53">
        <v>0</v>
      </c>
      <c r="H275" s="46">
        <v>0</v>
      </c>
      <c r="I275" s="53">
        <v>1</v>
      </c>
      <c r="J275" s="46">
        <v>17400</v>
      </c>
      <c r="K275" s="53">
        <v>0</v>
      </c>
      <c r="L275" s="46">
        <v>0</v>
      </c>
      <c r="M275" s="53">
        <v>1</v>
      </c>
      <c r="N275" s="46">
        <v>17400</v>
      </c>
      <c r="O275" s="53">
        <v>0</v>
      </c>
      <c r="P275" s="46">
        <v>0</v>
      </c>
      <c r="Q275" s="53">
        <v>0</v>
      </c>
      <c r="R275" s="46">
        <v>0</v>
      </c>
      <c r="S275" s="53">
        <v>0</v>
      </c>
      <c r="T275" s="46">
        <v>0</v>
      </c>
      <c r="U275" s="53">
        <v>0</v>
      </c>
      <c r="V275" s="46">
        <v>0</v>
      </c>
      <c r="W275" s="53">
        <v>0</v>
      </c>
      <c r="X275" s="46">
        <v>0</v>
      </c>
      <c r="Y275" s="53">
        <v>0</v>
      </c>
      <c r="Z275" s="46">
        <v>0</v>
      </c>
      <c r="AA275" s="53">
        <v>0</v>
      </c>
      <c r="AB275" s="46">
        <v>0</v>
      </c>
      <c r="AC275" s="53">
        <v>0</v>
      </c>
      <c r="AD275" s="46">
        <v>0</v>
      </c>
      <c r="AE275" s="85"/>
      <c r="AF275" s="92"/>
    </row>
    <row r="276" spans="1:32" ht="12" customHeight="1" x14ac:dyDescent="0.2">
      <c r="A276" s="13"/>
      <c r="B276" s="35"/>
      <c r="C276" s="51" t="s">
        <v>312</v>
      </c>
      <c r="D276" s="52">
        <f t="shared" si="88"/>
        <v>1</v>
      </c>
      <c r="E276" s="41" t="s">
        <v>39</v>
      </c>
      <c r="F276" s="42">
        <f>SUM(H276,J276,L276,N276,P276,R276,T276,V276,X276,Z276,AB276,AD276)</f>
        <v>4059.9999999999995</v>
      </c>
      <c r="G276" s="53">
        <v>1</v>
      </c>
      <c r="H276" s="46">
        <f>(G276*AF276)*1.16</f>
        <v>4059.9999999999995</v>
      </c>
      <c r="I276" s="53">
        <v>0</v>
      </c>
      <c r="J276" s="46">
        <f>(I276*AF276)*1.16</f>
        <v>0</v>
      </c>
      <c r="K276" s="53">
        <v>0</v>
      </c>
      <c r="L276" s="46">
        <f>(K276*AF276)*1.16</f>
        <v>0</v>
      </c>
      <c r="M276" s="53">
        <v>0</v>
      </c>
      <c r="N276" s="46">
        <f>(M276*AF276)*1.16</f>
        <v>0</v>
      </c>
      <c r="O276" s="53">
        <v>0</v>
      </c>
      <c r="P276" s="46">
        <f>(O276*AF276)*1.16</f>
        <v>0</v>
      </c>
      <c r="Q276" s="53">
        <v>0</v>
      </c>
      <c r="R276" s="46">
        <f>(Q276*AF276)*1.16</f>
        <v>0</v>
      </c>
      <c r="S276" s="53">
        <v>0</v>
      </c>
      <c r="T276" s="46">
        <f>(S276*AF276)*1.16</f>
        <v>0</v>
      </c>
      <c r="U276" s="53">
        <v>0</v>
      </c>
      <c r="V276" s="46">
        <f>(U276*AF276)*1.16</f>
        <v>0</v>
      </c>
      <c r="W276" s="53">
        <v>0</v>
      </c>
      <c r="X276" s="46">
        <f>(W276*AF276)*1.16</f>
        <v>0</v>
      </c>
      <c r="Y276" s="53">
        <v>0</v>
      </c>
      <c r="Z276" s="46">
        <f>(Y276*AF276)*1.16</f>
        <v>0</v>
      </c>
      <c r="AA276" s="53">
        <v>0</v>
      </c>
      <c r="AB276" s="46">
        <f>(AA276*AF276)*1.16</f>
        <v>0</v>
      </c>
      <c r="AC276" s="53">
        <v>0</v>
      </c>
      <c r="AD276" s="46">
        <f>(AC276*AF276)*1.16</f>
        <v>0</v>
      </c>
      <c r="AE276" s="29"/>
      <c r="AF276">
        <v>3500</v>
      </c>
    </row>
    <row r="277" spans="1:32" ht="12" customHeight="1" x14ac:dyDescent="0.2">
      <c r="A277" s="13"/>
      <c r="B277" s="35"/>
      <c r="C277" s="51" t="s">
        <v>313</v>
      </c>
      <c r="D277" s="52">
        <f t="shared" si="88"/>
        <v>1</v>
      </c>
      <c r="E277" s="41" t="s">
        <v>39</v>
      </c>
      <c r="F277" s="42">
        <f>SUM(H277,J277,L277,N277,P277,R277,T277,V277,X277,Z277,AB277,AD277)</f>
        <v>1325.8799999999999</v>
      </c>
      <c r="G277" s="53">
        <v>0</v>
      </c>
      <c r="H277" s="46">
        <f>(G277*AF277)*1.16</f>
        <v>0</v>
      </c>
      <c r="I277" s="53">
        <v>0</v>
      </c>
      <c r="J277" s="46">
        <f>(I277*AF277)*1.16</f>
        <v>0</v>
      </c>
      <c r="K277" s="53">
        <v>1</v>
      </c>
      <c r="L277" s="46">
        <f>(K277*AF277)*1.16</f>
        <v>1325.8799999999999</v>
      </c>
      <c r="M277" s="53">
        <v>0</v>
      </c>
      <c r="N277" s="46">
        <f>(M277*AF277)*1.16</f>
        <v>0</v>
      </c>
      <c r="O277" s="53">
        <v>0</v>
      </c>
      <c r="P277" s="46">
        <f>(O277*AF277)*1.16</f>
        <v>0</v>
      </c>
      <c r="Q277" s="53">
        <v>0</v>
      </c>
      <c r="R277" s="46">
        <f>(Q277*AF277)*1.16</f>
        <v>0</v>
      </c>
      <c r="S277" s="53">
        <v>0</v>
      </c>
      <c r="T277" s="46">
        <f>(S277*AF277)*1.16</f>
        <v>0</v>
      </c>
      <c r="U277" s="53">
        <v>0</v>
      </c>
      <c r="V277" s="46">
        <f>(U277*AF277)*1.16</f>
        <v>0</v>
      </c>
      <c r="W277" s="53">
        <v>0</v>
      </c>
      <c r="X277" s="46">
        <f>(W277*AF277)*1.16</f>
        <v>0</v>
      </c>
      <c r="Y277" s="53">
        <v>0</v>
      </c>
      <c r="Z277" s="46">
        <f>(Y277*AF277)*1.16</f>
        <v>0</v>
      </c>
      <c r="AA277" s="53">
        <v>0</v>
      </c>
      <c r="AB277" s="46">
        <f>(AA277*AF277)*1.16</f>
        <v>0</v>
      </c>
      <c r="AC277" s="53">
        <v>0</v>
      </c>
      <c r="AD277" s="46">
        <f>(AC277*AF277)*1.16</f>
        <v>0</v>
      </c>
      <c r="AE277" s="29"/>
      <c r="AF277">
        <v>1143</v>
      </c>
    </row>
    <row r="278" spans="1:32" ht="12" customHeight="1" x14ac:dyDescent="0.2">
      <c r="A278" s="13"/>
      <c r="B278" s="35"/>
      <c r="C278" s="51" t="s">
        <v>314</v>
      </c>
      <c r="D278" s="52">
        <f t="shared" si="88"/>
        <v>1</v>
      </c>
      <c r="E278" s="41" t="s">
        <v>39</v>
      </c>
      <c r="F278" s="42">
        <f>SUM(H278,J278,L278,N278,P278,R278,T278,V278,X278,Z278,AB278,AD278)</f>
        <v>1465.8340000000001</v>
      </c>
      <c r="G278" s="53">
        <v>1</v>
      </c>
      <c r="H278" s="46">
        <f>(G278*AF278)*1.16</f>
        <v>1465.8340000000001</v>
      </c>
      <c r="I278" s="53">
        <v>0</v>
      </c>
      <c r="J278" s="46">
        <f>(I278*AF278)*1.16</f>
        <v>0</v>
      </c>
      <c r="K278" s="53">
        <v>0</v>
      </c>
      <c r="L278" s="46">
        <f>(K278*AF278)*1.16</f>
        <v>0</v>
      </c>
      <c r="M278" s="53">
        <v>0</v>
      </c>
      <c r="N278" s="46">
        <f>(M278*AF278)*1.16</f>
        <v>0</v>
      </c>
      <c r="O278" s="53">
        <v>0</v>
      </c>
      <c r="P278" s="46">
        <f>(O278*AF278)*1.16</f>
        <v>0</v>
      </c>
      <c r="Q278" s="53">
        <v>0</v>
      </c>
      <c r="R278" s="46">
        <f>(Q278*AF278)*1.16</f>
        <v>0</v>
      </c>
      <c r="S278" s="53">
        <v>0</v>
      </c>
      <c r="T278" s="46">
        <f>(S278*AF278)*1.16</f>
        <v>0</v>
      </c>
      <c r="U278" s="53">
        <v>0</v>
      </c>
      <c r="V278" s="46">
        <f>(U278*AF278)*1.16</f>
        <v>0</v>
      </c>
      <c r="W278" s="53">
        <v>0</v>
      </c>
      <c r="X278" s="46">
        <f>(W278*AF278)*1.16</f>
        <v>0</v>
      </c>
      <c r="Y278" s="53">
        <v>0</v>
      </c>
      <c r="Z278" s="46">
        <f>(Y278*AF278)*1.16</f>
        <v>0</v>
      </c>
      <c r="AA278" s="53">
        <v>0</v>
      </c>
      <c r="AB278" s="46">
        <f>(AA278*AF278)*1.16</f>
        <v>0</v>
      </c>
      <c r="AC278" s="53">
        <v>0</v>
      </c>
      <c r="AD278" s="46">
        <f>(AC278*AF278)*1.16</f>
        <v>0</v>
      </c>
      <c r="AE278" s="29"/>
      <c r="AF278">
        <v>1263.6500000000001</v>
      </c>
    </row>
    <row r="279" spans="1:32" ht="13.5" customHeight="1" x14ac:dyDescent="0.2">
      <c r="A279" s="13"/>
      <c r="B279" s="30">
        <v>5900</v>
      </c>
      <c r="C279" s="31" t="s">
        <v>315</v>
      </c>
      <c r="D279" s="52"/>
      <c r="E279" s="41"/>
      <c r="F279" s="36">
        <f>F280+F282</f>
        <v>206760</v>
      </c>
      <c r="G279" s="53"/>
      <c r="H279" s="36">
        <f>H280+H282</f>
        <v>0</v>
      </c>
      <c r="I279" s="55"/>
      <c r="J279" s="36">
        <f>J280+J282</f>
        <v>206760</v>
      </c>
      <c r="K279" s="55"/>
      <c r="L279" s="36">
        <f>L280+L282</f>
        <v>0</v>
      </c>
      <c r="M279" s="55"/>
      <c r="N279" s="36">
        <f>N280+N282</f>
        <v>0</v>
      </c>
      <c r="O279" s="55"/>
      <c r="P279" s="36">
        <f>P280+P282</f>
        <v>0</v>
      </c>
      <c r="Q279" s="55"/>
      <c r="R279" s="36">
        <f>R280+R282</f>
        <v>0</v>
      </c>
      <c r="S279" s="55"/>
      <c r="T279" s="36">
        <f>T280+T282</f>
        <v>0</v>
      </c>
      <c r="U279" s="55"/>
      <c r="V279" s="36">
        <f>V280+V282</f>
        <v>0</v>
      </c>
      <c r="W279" s="55"/>
      <c r="X279" s="36">
        <f>X280+X282</f>
        <v>0</v>
      </c>
      <c r="Y279" s="55"/>
      <c r="Z279" s="36">
        <f>Z280+Z282</f>
        <v>0</v>
      </c>
      <c r="AA279" s="55"/>
      <c r="AB279" s="36">
        <f>AB280+AB282</f>
        <v>0</v>
      </c>
      <c r="AC279" s="55"/>
      <c r="AD279" s="36">
        <f>AD280+AD282</f>
        <v>0</v>
      </c>
      <c r="AE279" s="29"/>
    </row>
    <row r="280" spans="1:32" ht="13.5" customHeight="1" x14ac:dyDescent="0.2">
      <c r="A280" s="13"/>
      <c r="B280" s="35">
        <v>591</v>
      </c>
      <c r="C280" s="31" t="s">
        <v>316</v>
      </c>
      <c r="D280" s="52"/>
      <c r="E280" s="41"/>
      <c r="F280" s="36">
        <f>H280+J280+L280+N280+P280+R280+T280+V280+X280+Z280+AB280+AD280</f>
        <v>0</v>
      </c>
      <c r="G280" s="53"/>
      <c r="H280" s="36">
        <f>SUM(H281)</f>
        <v>0</v>
      </c>
      <c r="I280" s="55"/>
      <c r="J280" s="36">
        <f>SUM(J281)</f>
        <v>0</v>
      </c>
      <c r="K280" s="55"/>
      <c r="L280" s="36">
        <f>SUM(L281)</f>
        <v>0</v>
      </c>
      <c r="M280" s="55"/>
      <c r="N280" s="36">
        <f>SUM(N281)</f>
        <v>0</v>
      </c>
      <c r="O280" s="55"/>
      <c r="P280" s="36">
        <f>SUM(P281)</f>
        <v>0</v>
      </c>
      <c r="Q280" s="55"/>
      <c r="R280" s="36">
        <f>SUM(R281)</f>
        <v>0</v>
      </c>
      <c r="S280" s="55"/>
      <c r="T280" s="36">
        <f>SUM(T281)</f>
        <v>0</v>
      </c>
      <c r="U280" s="55"/>
      <c r="V280" s="36">
        <f>SUM(V281)</f>
        <v>0</v>
      </c>
      <c r="W280" s="55"/>
      <c r="X280" s="36">
        <f>SUM(X281)</f>
        <v>0</v>
      </c>
      <c r="Y280" s="55"/>
      <c r="Z280" s="36">
        <f>SUM(Z281)</f>
        <v>0</v>
      </c>
      <c r="AA280" s="55"/>
      <c r="AB280" s="36">
        <f>SUM(AB281)</f>
        <v>0</v>
      </c>
      <c r="AC280" s="55"/>
      <c r="AD280" s="36">
        <f>SUM(AD281)</f>
        <v>0</v>
      </c>
      <c r="AE280" s="29"/>
    </row>
    <row r="281" spans="1:32" ht="13.5" customHeight="1" x14ac:dyDescent="0.2">
      <c r="A281" s="13"/>
      <c r="B281" s="35"/>
      <c r="C281" s="51" t="s">
        <v>317</v>
      </c>
      <c r="D281" s="52">
        <f>G281+I281+K281+M281+O281+Q281+S281+U281+W281+Y281+AA281+AC281</f>
        <v>0</v>
      </c>
      <c r="E281" s="41" t="s">
        <v>63</v>
      </c>
      <c r="F281" s="42">
        <f>H281+J281+L281+N281+P281+R281+T281+V281+X281+Z281+AB281+AD281</f>
        <v>0</v>
      </c>
      <c r="G281" s="53">
        <v>0</v>
      </c>
      <c r="H281" s="46">
        <v>0</v>
      </c>
      <c r="I281" s="53">
        <v>0</v>
      </c>
      <c r="J281" s="46">
        <v>0</v>
      </c>
      <c r="K281" s="53">
        <v>0</v>
      </c>
      <c r="L281" s="46">
        <v>0</v>
      </c>
      <c r="M281" s="53">
        <v>0</v>
      </c>
      <c r="N281" s="46">
        <v>0</v>
      </c>
      <c r="O281" s="53">
        <v>0</v>
      </c>
      <c r="P281" s="46">
        <v>0</v>
      </c>
      <c r="Q281" s="53">
        <v>0</v>
      </c>
      <c r="R281" s="46">
        <v>0</v>
      </c>
      <c r="S281" s="53">
        <v>0</v>
      </c>
      <c r="T281" s="46">
        <v>0</v>
      </c>
      <c r="U281" s="53">
        <v>0</v>
      </c>
      <c r="V281" s="46">
        <v>0</v>
      </c>
      <c r="W281" s="53">
        <v>0</v>
      </c>
      <c r="X281" s="46">
        <v>0</v>
      </c>
      <c r="Y281" s="53">
        <v>0</v>
      </c>
      <c r="Z281" s="46">
        <v>0</v>
      </c>
      <c r="AA281" s="53">
        <v>0</v>
      </c>
      <c r="AB281" s="46">
        <v>0</v>
      </c>
      <c r="AC281" s="53">
        <v>0</v>
      </c>
      <c r="AD281" s="46">
        <v>0</v>
      </c>
      <c r="AE281" s="29"/>
    </row>
    <row r="282" spans="1:32" ht="24" customHeight="1" x14ac:dyDescent="0.2">
      <c r="A282" s="13"/>
      <c r="B282" s="35">
        <v>597</v>
      </c>
      <c r="C282" s="31" t="s">
        <v>318</v>
      </c>
      <c r="D282" s="52"/>
      <c r="E282" s="41"/>
      <c r="F282" s="36">
        <f>H282+J282+L282+N282+P282+R282+T282+V282+X282+Z282+AB282+AD282</f>
        <v>206760</v>
      </c>
      <c r="G282" s="53"/>
      <c r="H282" s="36">
        <f>SUM(H283)</f>
        <v>0</v>
      </c>
      <c r="I282" s="55"/>
      <c r="J282" s="36">
        <f>SUM(J283)</f>
        <v>206760</v>
      </c>
      <c r="K282" s="55"/>
      <c r="L282" s="36">
        <f>SUM(L283)</f>
        <v>0</v>
      </c>
      <c r="M282" s="55"/>
      <c r="N282" s="36">
        <f>SUM(N283)</f>
        <v>0</v>
      </c>
      <c r="O282" s="55"/>
      <c r="P282" s="36">
        <f>SUM(P283)</f>
        <v>0</v>
      </c>
      <c r="Q282" s="55"/>
      <c r="R282" s="36">
        <f>SUM(R283)</f>
        <v>0</v>
      </c>
      <c r="S282" s="55"/>
      <c r="T282" s="36">
        <f>SUM(T283)</f>
        <v>0</v>
      </c>
      <c r="U282" s="55"/>
      <c r="V282" s="36">
        <f>SUM(V283)</f>
        <v>0</v>
      </c>
      <c r="W282" s="55"/>
      <c r="X282" s="36">
        <f>SUM(X283)</f>
        <v>0</v>
      </c>
      <c r="Y282" s="55"/>
      <c r="Z282" s="36">
        <f>SUM(Z283)</f>
        <v>0</v>
      </c>
      <c r="AA282" s="55"/>
      <c r="AB282" s="36">
        <f>SUM(AB283)</f>
        <v>0</v>
      </c>
      <c r="AC282" s="55"/>
      <c r="AD282" s="36">
        <f>SUM(AD283)</f>
        <v>0</v>
      </c>
      <c r="AE282" s="29"/>
    </row>
    <row r="283" spans="1:32" ht="24.75" customHeight="1" x14ac:dyDescent="0.2">
      <c r="A283" s="13"/>
      <c r="B283" s="35"/>
      <c r="C283" s="51" t="s">
        <v>318</v>
      </c>
      <c r="D283" s="52">
        <f>G283+I283+K283+M283+O283+Q283+S283+U283+W283+Y283+AA283+AC283</f>
        <v>10</v>
      </c>
      <c r="E283" s="41" t="s">
        <v>63</v>
      </c>
      <c r="F283" s="42">
        <f>H283+J283+L283+N283+P283+R283+T283+V283+X283+Z283+AB283+AD283</f>
        <v>206760</v>
      </c>
      <c r="G283" s="53">
        <v>0</v>
      </c>
      <c r="H283" s="46">
        <v>0</v>
      </c>
      <c r="I283" s="53">
        <v>10</v>
      </c>
      <c r="J283" s="46">
        <v>206760</v>
      </c>
      <c r="K283" s="53">
        <v>0</v>
      </c>
      <c r="L283" s="46">
        <v>0</v>
      </c>
      <c r="M283" s="53">
        <v>0</v>
      </c>
      <c r="N283" s="46">
        <v>0</v>
      </c>
      <c r="O283" s="53">
        <v>0</v>
      </c>
      <c r="P283" s="46">
        <v>0</v>
      </c>
      <c r="Q283" s="53">
        <v>0</v>
      </c>
      <c r="R283" s="46">
        <v>0</v>
      </c>
      <c r="S283" s="53">
        <v>0</v>
      </c>
      <c r="T283" s="46">
        <v>0</v>
      </c>
      <c r="U283" s="53">
        <v>0</v>
      </c>
      <c r="V283" s="46">
        <v>0</v>
      </c>
      <c r="W283" s="53">
        <v>0</v>
      </c>
      <c r="X283" s="46">
        <v>0</v>
      </c>
      <c r="Y283" s="53">
        <v>0</v>
      </c>
      <c r="Z283" s="46">
        <v>0</v>
      </c>
      <c r="AA283" s="53">
        <v>0</v>
      </c>
      <c r="AB283" s="46">
        <v>0</v>
      </c>
      <c r="AC283" s="53">
        <v>0</v>
      </c>
      <c r="AD283" s="46">
        <v>0</v>
      </c>
      <c r="AE283" s="29"/>
    </row>
    <row r="284" spans="1:32" ht="17.25" customHeight="1" x14ac:dyDescent="0.2">
      <c r="A284" s="13"/>
      <c r="B284" s="93"/>
      <c r="C284" s="94" t="s">
        <v>319</v>
      </c>
      <c r="D284" s="95"/>
      <c r="E284" s="96"/>
      <c r="F284" s="97">
        <f>SUM(F6+F205+F255)</f>
        <v>7700657.1436000001</v>
      </c>
      <c r="G284" s="97"/>
      <c r="H284" s="97">
        <f>SUM(H6+H205+H255)</f>
        <v>494478.03632000001</v>
      </c>
      <c r="I284" s="97"/>
      <c r="J284" s="97">
        <f>SUM(J6+J205+J255)</f>
        <v>1441782.852</v>
      </c>
      <c r="K284" s="97"/>
      <c r="L284" s="97">
        <f>SUM(L6+L205+L255)</f>
        <v>604481.39944000007</v>
      </c>
      <c r="M284" s="97"/>
      <c r="N284" s="97">
        <f>SUM(N6+N205+N255)</f>
        <v>834186.19519999996</v>
      </c>
      <c r="O284" s="97"/>
      <c r="P284" s="97">
        <f>SUM(P6+P205+P255)</f>
        <v>635576.77344000002</v>
      </c>
      <c r="Q284" s="97"/>
      <c r="R284" s="97">
        <f>SUM(R6+R205+R255)</f>
        <v>552304.23759999999</v>
      </c>
      <c r="S284" s="97"/>
      <c r="T284" s="97">
        <f>SUM(T6+T205+T255)</f>
        <v>481878.18079999997</v>
      </c>
      <c r="U284" s="97"/>
      <c r="V284" s="97">
        <f>SUM(V6+V205+V255)</f>
        <v>553031.65327999997</v>
      </c>
      <c r="W284" s="97"/>
      <c r="X284" s="97">
        <f>SUM(X6+X205+X255)</f>
        <v>490326.98063999997</v>
      </c>
      <c r="Y284" s="97"/>
      <c r="Z284" s="97">
        <f>SUM(Z6+Z205+Z255)</f>
        <v>577679.81391999999</v>
      </c>
      <c r="AA284" s="97"/>
      <c r="AB284" s="97">
        <f>SUM(AB6+AB205+AB255)</f>
        <v>484270.38176000002</v>
      </c>
      <c r="AC284" s="97"/>
      <c r="AD284" s="97">
        <f>SUM(AD6+AD205+AD255)</f>
        <v>530237.21120000002</v>
      </c>
      <c r="AE284" s="29"/>
    </row>
    <row r="285" spans="1:32" ht="17.25" customHeight="1" x14ac:dyDescent="0.2">
      <c r="B285" s="98"/>
      <c r="C285" s="99"/>
      <c r="D285" s="100"/>
      <c r="E285" s="101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29"/>
    </row>
    <row r="286" spans="1:32" ht="17.25" customHeight="1" x14ac:dyDescent="0.2">
      <c r="B286" s="98"/>
      <c r="C286" s="99"/>
      <c r="D286" s="100"/>
      <c r="E286" s="101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29"/>
    </row>
    <row r="287" spans="1:32" ht="17.25" customHeight="1" x14ac:dyDescent="0.2">
      <c r="B287" s="2" t="s">
        <v>320</v>
      </c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9"/>
    </row>
    <row r="288" spans="1:32" ht="17.25" customHeight="1" x14ac:dyDescent="0.2">
      <c r="B288" s="98"/>
      <c r="C288" s="103"/>
      <c r="D288" s="104"/>
      <c r="E288" s="105"/>
      <c r="F288" s="106"/>
      <c r="G288" s="106"/>
      <c r="H288" s="106"/>
      <c r="I288" s="106"/>
      <c r="J288" s="106"/>
      <c r="K288" s="106"/>
      <c r="L288" s="106"/>
      <c r="M288" s="106"/>
      <c r="N288" s="106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5"/>
      <c r="AB288" s="15"/>
      <c r="AC288" s="15"/>
      <c r="AD288" s="15"/>
      <c r="AE288" s="29"/>
    </row>
    <row r="289" spans="2:31" ht="17.25" customHeight="1" x14ac:dyDescent="0.2">
      <c r="B289" s="98"/>
      <c r="C289" s="103"/>
      <c r="D289" s="104"/>
      <c r="E289" s="105"/>
      <c r="F289" s="106"/>
      <c r="G289" s="106"/>
      <c r="H289" s="106"/>
      <c r="I289" s="106"/>
      <c r="J289" s="106"/>
      <c r="K289" s="106"/>
      <c r="L289" s="106"/>
      <c r="M289" s="106"/>
      <c r="N289" s="106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5"/>
      <c r="AB289" s="15"/>
      <c r="AC289" s="15"/>
      <c r="AD289" s="15"/>
      <c r="AE289" s="29"/>
    </row>
    <row r="290" spans="2:31" ht="17.25" customHeight="1" x14ac:dyDescent="0.2">
      <c r="B290" s="107"/>
      <c r="C290" s="108"/>
      <c r="D290" s="109"/>
      <c r="E290" s="110"/>
      <c r="F290" s="105"/>
      <c r="G290" s="105"/>
      <c r="H290" s="105"/>
      <c r="I290" s="105"/>
      <c r="J290" s="105"/>
      <c r="K290" s="105"/>
      <c r="L290" s="105"/>
      <c r="M290" s="111"/>
      <c r="N290" s="111"/>
      <c r="O290" s="112"/>
      <c r="P290" s="112"/>
      <c r="Q290" s="112"/>
      <c r="R290" s="98"/>
      <c r="S290" s="98"/>
      <c r="T290" s="98"/>
      <c r="U290" s="98"/>
      <c r="V290" s="98"/>
      <c r="W290" s="98"/>
      <c r="X290" s="98"/>
      <c r="Y290" s="113"/>
      <c r="Z290" s="98"/>
      <c r="AA290" s="107"/>
      <c r="AB290" s="107"/>
      <c r="AC290" s="107"/>
      <c r="AD290" s="107"/>
      <c r="AE290" s="29"/>
    </row>
    <row r="291" spans="2:31" ht="17.25" customHeight="1" x14ac:dyDescent="0.2">
      <c r="B291" s="1" t="s">
        <v>321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29"/>
    </row>
    <row r="292" spans="2:31" ht="17.25" customHeight="1" x14ac:dyDescent="0.2"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</sheetData>
  <mergeCells count="8">
    <mergeCell ref="C4:M4"/>
    <mergeCell ref="B287:AD287"/>
    <mergeCell ref="B291:AD291"/>
    <mergeCell ref="B1:AD1"/>
    <mergeCell ref="B2:C2"/>
    <mergeCell ref="D2:G2"/>
    <mergeCell ref="B3:C3"/>
    <mergeCell ref="D3:I3"/>
  </mergeCells>
  <pageMargins left="0.25" right="0.25" top="0.75" bottom="0.75" header="0.3" footer="0.51180555555555496"/>
  <pageSetup paperSize="5" scale="48" orientation="landscape" horizontalDpi="300" verticalDpi="300"/>
  <headerFooter>
    <oddHeader>&amp;C&amp;12PROGRAMA ANUAL DE ADQUISIONES 2022
CALENDARIZACIÓN DEL GASTO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7</vt:i4>
      </vt:variant>
    </vt:vector>
  </HeadingPairs>
  <TitlesOfParts>
    <vt:vector size="8" baseType="lpstr">
      <vt:lpstr>PAA 2022</vt:lpstr>
      <vt:lpstr>'PAA 2022'!Print_Titles_0</vt:lpstr>
      <vt:lpstr>'PAA 2022'!Print_Titles_0_0</vt:lpstr>
      <vt:lpstr>'PAA 2022'!Print_Titles_0_0_0</vt:lpstr>
      <vt:lpstr>'PAA 2022'!Print_Titles_0_0_0_0</vt:lpstr>
      <vt:lpstr>'PAA 2022'!Print_Titles_0_0_0_0_0</vt:lpstr>
      <vt:lpstr>'PAA 2022'!Print_Titles_0_0_0_0_0_0</vt:lpstr>
      <vt:lpstr>'PAA 2022'!Títulos_a_imprimir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Equipo4</dc:creator>
  <dc:description/>
  <cp:lastModifiedBy>SAF-D26L2</cp:lastModifiedBy>
  <cp:revision>212</cp:revision>
  <cp:lastPrinted>2021-10-05T16:05:24Z</cp:lastPrinted>
  <dcterms:created xsi:type="dcterms:W3CDTF">2016-05-26T16:43:50Z</dcterms:created>
  <dcterms:modified xsi:type="dcterms:W3CDTF">2022-04-25T19:49:39Z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ProgId">
    <vt:lpwstr>Excel.Sheet</vt:lpwstr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